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39" activeTab="5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基准地价修正-办公、车库" sheetId="43" state="hidden" r:id="rId25"/>
    <sheet name="基准地价修正-商业" sheetId="88" state="hidden" r:id="rId26"/>
    <sheet name="成本法" sheetId="68" state="hidden" r:id="rId27"/>
    <sheet name="收益法（汇总）" sheetId="70" state="hidden" r:id="rId28"/>
    <sheet name="比较法-办公" sheetId="34" r:id="rId29"/>
    <sheet name="比较法-工业" sheetId="37"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办公" sheetId="78" r:id="rId38"/>
    <sheet name="典型户型修正-办公" sheetId="77" r:id="rId39"/>
    <sheet name="结果表-商业" sheetId="83" r:id="rId40"/>
    <sheet name="比较法-商业" sheetId="33" r:id="rId41"/>
    <sheet name="收益法-商业" sheetId="15" r:id="rId42"/>
    <sheet name="典型户型修正-商业" sheetId="31" r:id="rId43"/>
    <sheet name="结果表-车位" sheetId="84" r:id="rId44"/>
    <sheet name="比较法-车位" sheetId="35" r:id="rId45"/>
    <sheet name="收益法-车位" sheetId="79"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办公案例" sheetId="80" r:id="rId52"/>
    <sheet name="商业案例" sheetId="81" r:id="rId53"/>
    <sheet name="车库案例" sheetId="82" r:id="rId54"/>
    <sheet name="租金情况" sheetId="86" r:id="rId55"/>
    <sheet name="预评函结果表" sheetId="87" r:id="rId56"/>
  </sheets>
  <definedNames>
    <definedName name="_xlnm._FilterDatabase" localSheetId="28" hidden="1">'比较法-办公'!$A$1:$L$50</definedName>
    <definedName name="_xlnm._FilterDatabase" localSheetId="30" hidden="1">'比较法-仓储'!$A$1:$L$37</definedName>
    <definedName name="_xlnm._FilterDatabase" localSheetId="44" hidden="1">'比较法-车位'!$A$1:$L$39</definedName>
    <definedName name="_xlnm._FilterDatabase" localSheetId="29" hidden="1">'比较法-工业'!$A$1:$L$43</definedName>
    <definedName name="_xlnm._FilterDatabase" localSheetId="40"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37">'收益法-办公'!$A$1:$AK$69</definedName>
    <definedName name="_xlnm.Print_Area" localSheetId="45">'收益法-车位'!$A$1:$AK$69</definedName>
    <definedName name="_xlnm.Print_Area" localSheetId="41">'收益法-商业'!$A$1:$AK$69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8">'典型户型修正-办公'!$5:$5</definedName>
    <definedName name="一修多修正项2">'典型户型修正-商业'!$5:$5</definedName>
    <definedName name="一修多修正项3" localSheetId="38">'典型户型修正-办公'!$7:$7</definedName>
    <definedName name="一修多修正项3">'典型户型修正-商业'!$7:$7</definedName>
    <definedName name="一修多修正项4" localSheetId="38">'典型户型修正-办公'!$9:$9</definedName>
    <definedName name="一修多修正项4">'典型户型修正-商业'!$9:$9</definedName>
    <definedName name="一修多修正项5" localSheetId="38">'典型户型修正-办公'!$11:$11</definedName>
    <definedName name="一修多修正项5">'典型户型修正-商业'!$11:$11</definedName>
    <definedName name="一修多修正项6" localSheetId="38">'典型户型修正-办公'!$13:$13</definedName>
    <definedName name="一修多修正项6">'典型户型修正-商业'!$13:$13</definedName>
    <definedName name="一修多修正项7" localSheetId="38">'典型户型修正-办公'!$15:$15</definedName>
    <definedName name="一修多修正项7">'典型户型修正-商业'!$15:$15</definedName>
    <definedName name="一修多修正项8" localSheetId="38">'典型户型修正-办公'!$17:$17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3" i="88" l="1"/>
  <c r="U2" i="88"/>
  <c r="G41" i="43"/>
  <c r="D39" i="43"/>
  <c r="D37" i="43"/>
  <c r="D29" i="43"/>
  <c r="F113" i="88"/>
  <c r="N99" i="88"/>
  <c r="M99" i="88"/>
  <c r="L99" i="88"/>
  <c r="K99" i="88"/>
  <c r="J99" i="88"/>
  <c r="I99" i="88"/>
  <c r="H99" i="88"/>
  <c r="G99" i="88"/>
  <c r="F99" i="88"/>
  <c r="E99" i="88"/>
  <c r="D99" i="88"/>
  <c r="D108" i="88" s="1"/>
  <c r="C99" i="88"/>
  <c r="C108" i="88" s="1"/>
  <c r="M88" i="88"/>
  <c r="N88" i="88" s="1"/>
  <c r="K88" i="88"/>
  <c r="J88" i="88"/>
  <c r="D88" i="88"/>
  <c r="B88" i="88"/>
  <c r="N87" i="88"/>
  <c r="M87" i="88"/>
  <c r="K87" i="88"/>
  <c r="J87" i="88" s="1"/>
  <c r="D87" i="88"/>
  <c r="N86" i="88"/>
  <c r="M86" i="88"/>
  <c r="K86" i="88"/>
  <c r="J86" i="88" s="1"/>
  <c r="D86" i="88"/>
  <c r="B86" i="88"/>
  <c r="N85" i="88"/>
  <c r="M85" i="88"/>
  <c r="K85" i="88"/>
  <c r="J85" i="88" s="1"/>
  <c r="D85" i="88"/>
  <c r="B85" i="88"/>
  <c r="M84" i="88"/>
  <c r="N84" i="88" s="1"/>
  <c r="K84" i="88"/>
  <c r="J84" i="88" s="1"/>
  <c r="D84" i="88"/>
  <c r="B84" i="88"/>
  <c r="N83" i="88"/>
  <c r="M83" i="88"/>
  <c r="K83" i="88"/>
  <c r="J83" i="88" s="1"/>
  <c r="D83" i="88"/>
  <c r="B83" i="88"/>
  <c r="M82" i="88"/>
  <c r="N82" i="88" s="1"/>
  <c r="K82" i="88"/>
  <c r="J82" i="88"/>
  <c r="D82" i="88"/>
  <c r="B82" i="88"/>
  <c r="N81" i="88"/>
  <c r="M81" i="88"/>
  <c r="K81" i="88"/>
  <c r="J81" i="88" s="1"/>
  <c r="F81" i="88"/>
  <c r="H87" i="88" s="1"/>
  <c r="E81" i="88"/>
  <c r="B79" i="88" s="1"/>
  <c r="D81" i="88"/>
  <c r="B81" i="88"/>
  <c r="N78" i="88"/>
  <c r="M78" i="88"/>
  <c r="K78" i="88"/>
  <c r="J78" i="88" s="1"/>
  <c r="D78" i="88"/>
  <c r="M77" i="88"/>
  <c r="N77" i="88" s="1"/>
  <c r="K77" i="88"/>
  <c r="J77" i="88"/>
  <c r="D77" i="88"/>
  <c r="B77" i="88"/>
  <c r="N76" i="88"/>
  <c r="M76" i="88"/>
  <c r="K76" i="88"/>
  <c r="J76" i="88" s="1"/>
  <c r="D76" i="88"/>
  <c r="N75" i="88"/>
  <c r="M75" i="88"/>
  <c r="K75" i="88"/>
  <c r="J75" i="88" s="1"/>
  <c r="D75" i="88"/>
  <c r="B75" i="88"/>
  <c r="N74" i="88"/>
  <c r="M74" i="88"/>
  <c r="K74" i="88"/>
  <c r="J74" i="88" s="1"/>
  <c r="D74" i="88"/>
  <c r="B74" i="88"/>
  <c r="N73" i="88"/>
  <c r="M73" i="88"/>
  <c r="K73" i="88"/>
  <c r="J73" i="88" s="1"/>
  <c r="D73" i="88"/>
  <c r="B73" i="88"/>
  <c r="N72" i="88"/>
  <c r="M72" i="88"/>
  <c r="K72" i="88"/>
  <c r="J72" i="88" s="1"/>
  <c r="D72" i="88"/>
  <c r="B72" i="88"/>
  <c r="N71" i="88"/>
  <c r="M71" i="88"/>
  <c r="K71" i="88"/>
  <c r="J71" i="88" s="1"/>
  <c r="D71" i="88"/>
  <c r="B71" i="88"/>
  <c r="N70" i="88"/>
  <c r="M70" i="88"/>
  <c r="K70" i="88"/>
  <c r="J70" i="88" s="1"/>
  <c r="F70" i="88"/>
  <c r="H76" i="88" s="1"/>
  <c r="D70" i="88"/>
  <c r="B70" i="88"/>
  <c r="M67" i="88"/>
  <c r="N67" i="88" s="1"/>
  <c r="K67" i="88"/>
  <c r="J67" i="88"/>
  <c r="D67" i="88"/>
  <c r="B67" i="88"/>
  <c r="N66" i="88"/>
  <c r="M66" i="88"/>
  <c r="K66" i="88"/>
  <c r="J66" i="88" s="1"/>
  <c r="D66" i="88"/>
  <c r="B66" i="88"/>
  <c r="M65" i="88"/>
  <c r="N65" i="88" s="1"/>
  <c r="K65" i="88"/>
  <c r="J65" i="88"/>
  <c r="D65" i="88"/>
  <c r="B65" i="88"/>
  <c r="N64" i="88"/>
  <c r="M64" i="88"/>
  <c r="K64" i="88"/>
  <c r="J64" i="88" s="1"/>
  <c r="D64" i="88"/>
  <c r="N63" i="88"/>
  <c r="M63" i="88"/>
  <c r="K63" i="88"/>
  <c r="J63" i="88" s="1"/>
  <c r="D63" i="88"/>
  <c r="B63" i="88"/>
  <c r="N62" i="88"/>
  <c r="M62" i="88"/>
  <c r="K62" i="88"/>
  <c r="J62" i="88" s="1"/>
  <c r="D62" i="88"/>
  <c r="M61" i="88"/>
  <c r="N61" i="88" s="1"/>
  <c r="K61" i="88"/>
  <c r="J61" i="88"/>
  <c r="D61" i="88"/>
  <c r="B61" i="88"/>
  <c r="N60" i="88"/>
  <c r="M60" i="88"/>
  <c r="K60" i="88"/>
  <c r="J60" i="88" s="1"/>
  <c r="D60" i="88"/>
  <c r="B60" i="88"/>
  <c r="M59" i="88"/>
  <c r="N59" i="88" s="1"/>
  <c r="K59" i="88"/>
  <c r="J59" i="88"/>
  <c r="D59" i="88"/>
  <c r="E59" i="88" s="1"/>
  <c r="B57" i="88" s="1"/>
  <c r="B59" i="88"/>
  <c r="M56" i="88"/>
  <c r="N56" i="88" s="1"/>
  <c r="K56" i="88"/>
  <c r="J56" i="88"/>
  <c r="D56" i="88"/>
  <c r="B56" i="88"/>
  <c r="N55" i="88"/>
  <c r="M55" i="88"/>
  <c r="K55" i="88"/>
  <c r="J55" i="88" s="1"/>
  <c r="B55" i="88"/>
  <c r="M54" i="88"/>
  <c r="N54" i="88" s="1"/>
  <c r="K54" i="88"/>
  <c r="J54" i="88" s="1"/>
  <c r="D54" i="88"/>
  <c r="B54" i="88"/>
  <c r="N53" i="88"/>
  <c r="M53" i="88"/>
  <c r="K53" i="88"/>
  <c r="J53" i="88" s="1"/>
  <c r="N52" i="88"/>
  <c r="M52" i="88"/>
  <c r="K52" i="88"/>
  <c r="J52" i="88" s="1"/>
  <c r="D52" i="88"/>
  <c r="B52" i="88"/>
  <c r="M51" i="88"/>
  <c r="N51" i="88" s="1"/>
  <c r="K51" i="88"/>
  <c r="J51" i="88"/>
  <c r="D51" i="88"/>
  <c r="M50" i="88"/>
  <c r="N50" i="88" s="1"/>
  <c r="K50" i="88"/>
  <c r="J50" i="88"/>
  <c r="D50" i="88"/>
  <c r="B50" i="88"/>
  <c r="N49" i="88"/>
  <c r="M49" i="88"/>
  <c r="K49" i="88"/>
  <c r="J49" i="88" s="1"/>
  <c r="B49" i="88"/>
  <c r="M48" i="88"/>
  <c r="N48" i="88" s="1"/>
  <c r="K48" i="88"/>
  <c r="J48" i="88"/>
  <c r="D48" i="88"/>
  <c r="B48" i="88"/>
  <c r="H39" i="88"/>
  <c r="H38" i="88"/>
  <c r="H37" i="88"/>
  <c r="H36" i="88"/>
  <c r="H35" i="88"/>
  <c r="H34" i="88"/>
  <c r="H33" i="88"/>
  <c r="P24" i="88"/>
  <c r="P22" i="88"/>
  <c r="J20" i="88"/>
  <c r="I20" i="88"/>
  <c r="O19" i="88"/>
  <c r="M19" i="88"/>
  <c r="I19" i="88"/>
  <c r="G19" i="88"/>
  <c r="C18" i="88"/>
  <c r="F15" i="88"/>
  <c r="E15" i="88"/>
  <c r="D15" i="88"/>
  <c r="C15" i="88"/>
  <c r="C12" i="88" s="1"/>
  <c r="AI12" i="88"/>
  <c r="AG12" i="88"/>
  <c r="AE12" i="88"/>
  <c r="AC12" i="88"/>
  <c r="AA12" i="88"/>
  <c r="Y12" i="88"/>
  <c r="Y10" i="88"/>
  <c r="C10" i="88"/>
  <c r="C11" i="88" s="1"/>
  <c r="AJ9" i="88"/>
  <c r="AJ12" i="88" s="1"/>
  <c r="AI9" i="88"/>
  <c r="AI10" i="88" s="1"/>
  <c r="AH9" i="88"/>
  <c r="AH12" i="88" s="1"/>
  <c r="AG9" i="88"/>
  <c r="AG10" i="88" s="1"/>
  <c r="AF9" i="88"/>
  <c r="AF12" i="88" s="1"/>
  <c r="AE9" i="88"/>
  <c r="AE10" i="88" s="1"/>
  <c r="AD9" i="88"/>
  <c r="AD12" i="88" s="1"/>
  <c r="AC9" i="88"/>
  <c r="AC10" i="88" s="1"/>
  <c r="AB9" i="88"/>
  <c r="AB12" i="88" s="1"/>
  <c r="AA9" i="88"/>
  <c r="AA10" i="88" s="1"/>
  <c r="Z9" i="88"/>
  <c r="Z12" i="88" s="1"/>
  <c r="C9" i="88"/>
  <c r="A7" i="88"/>
  <c r="G3" i="88"/>
  <c r="I2" i="88"/>
  <c r="N12" i="88" s="1"/>
  <c r="G2" i="88"/>
  <c r="N1" i="88"/>
  <c r="D1" i="88"/>
  <c r="I7" i="6"/>
  <c r="D49" i="88" l="1"/>
  <c r="D53" i="88"/>
  <c r="D55" i="88"/>
  <c r="E48" i="88" s="1"/>
  <c r="B46" i="88" s="1"/>
  <c r="C24" i="88" s="1"/>
  <c r="E70" i="88"/>
  <c r="B68" i="88" s="1"/>
  <c r="M1" i="88"/>
  <c r="M2" i="88"/>
  <c r="N3" i="88"/>
  <c r="F48" i="88" s="1"/>
  <c r="N5" i="88"/>
  <c r="M8" i="88"/>
  <c r="M9" i="88"/>
  <c r="M12" i="88"/>
  <c r="H70" i="88"/>
  <c r="H81" i="88"/>
  <c r="M4" i="88"/>
  <c r="N6" i="88"/>
  <c r="M7" i="88"/>
  <c r="N10" i="88"/>
  <c r="N11" i="88"/>
  <c r="C19" i="88"/>
  <c r="E9" i="88"/>
  <c r="E8" i="88"/>
  <c r="E11" i="88"/>
  <c r="E10" i="88"/>
  <c r="H113" i="88"/>
  <c r="F59" i="88"/>
  <c r="S2" i="88"/>
  <c r="N101" i="88"/>
  <c r="L101" i="88"/>
  <c r="J101" i="88"/>
  <c r="H101" i="88"/>
  <c r="F101" i="88"/>
  <c r="D101" i="88"/>
  <c r="B113" i="88"/>
  <c r="M101" i="88"/>
  <c r="K101" i="88"/>
  <c r="I101" i="88"/>
  <c r="G101" i="88"/>
  <c r="E101" i="88"/>
  <c r="C101" i="88"/>
  <c r="C23" i="88"/>
  <c r="C21" i="88" s="1"/>
  <c r="J22" i="88"/>
  <c r="G22" i="88"/>
  <c r="E22" i="88"/>
  <c r="S4" i="88"/>
  <c r="S7" i="88"/>
  <c r="Z7" i="88"/>
  <c r="Z10" i="88"/>
  <c r="AB10" i="88"/>
  <c r="AD10" i="88"/>
  <c r="AF10" i="88"/>
  <c r="AH10" i="88"/>
  <c r="AJ10" i="88"/>
  <c r="Z11" i="88"/>
  <c r="Z13" i="88" s="1"/>
  <c r="AB11" i="88"/>
  <c r="AB13" i="88" s="1"/>
  <c r="AD11" i="88"/>
  <c r="AD13" i="88" s="1"/>
  <c r="AF11" i="88"/>
  <c r="AF13" i="88" s="1"/>
  <c r="AH11" i="88"/>
  <c r="AH13" i="88" s="1"/>
  <c r="AJ11" i="88"/>
  <c r="AJ13" i="88" s="1"/>
  <c r="D17" i="88"/>
  <c r="I17" i="88"/>
  <c r="K17" i="88"/>
  <c r="M17" i="88"/>
  <c r="O17" i="88"/>
  <c r="N2" i="88"/>
  <c r="M3" i="88"/>
  <c r="C6" i="88" s="1"/>
  <c r="S3" i="88"/>
  <c r="N4" i="88"/>
  <c r="M5" i="88"/>
  <c r="S5" i="88"/>
  <c r="M6" i="88"/>
  <c r="S6" i="88"/>
  <c r="N7" i="88"/>
  <c r="X7" i="88"/>
  <c r="N8" i="88"/>
  <c r="N9" i="88"/>
  <c r="M10" i="88"/>
  <c r="M11" i="88"/>
  <c r="Y11" i="88"/>
  <c r="Y13" i="88" s="1"/>
  <c r="AA11" i="88"/>
  <c r="AA13" i="88" s="1"/>
  <c r="AC11" i="88"/>
  <c r="AC13" i="88" s="1"/>
  <c r="AE11" i="88"/>
  <c r="AE13" i="88" s="1"/>
  <c r="AG11" i="88"/>
  <c r="AG13" i="88" s="1"/>
  <c r="AI11" i="88"/>
  <c r="AI13" i="88" s="1"/>
  <c r="C17" i="88"/>
  <c r="E17" i="88"/>
  <c r="H17" i="88"/>
  <c r="J17" i="88"/>
  <c r="L17" i="88"/>
  <c r="N17" i="88"/>
  <c r="P25" i="88"/>
  <c r="P21" i="88"/>
  <c r="M20" i="88"/>
  <c r="H22" i="88"/>
  <c r="P23" i="88"/>
  <c r="F33" i="88"/>
  <c r="F35" i="88"/>
  <c r="F37" i="88"/>
  <c r="F39" i="88"/>
  <c r="F22" i="88"/>
  <c r="F34" i="88"/>
  <c r="F36" i="88"/>
  <c r="F38" i="88"/>
  <c r="H72" i="88"/>
  <c r="H74" i="88"/>
  <c r="H77" i="88"/>
  <c r="H78" i="88"/>
  <c r="H83" i="88"/>
  <c r="H85" i="88"/>
  <c r="H88" i="88"/>
  <c r="D109" i="88"/>
  <c r="F108" i="88"/>
  <c r="F109" i="88" s="1"/>
  <c r="F100" i="88"/>
  <c r="H108" i="88"/>
  <c r="H109" i="88" s="1"/>
  <c r="H100" i="88"/>
  <c r="J108" i="88"/>
  <c r="J109" i="88" s="1"/>
  <c r="J100" i="88"/>
  <c r="L108" i="88"/>
  <c r="L109" i="88" s="1"/>
  <c r="L100" i="88"/>
  <c r="N108" i="88"/>
  <c r="N109" i="88" s="1"/>
  <c r="N100" i="88"/>
  <c r="D100" i="88"/>
  <c r="H71" i="88"/>
  <c r="H73" i="88"/>
  <c r="H75" i="88"/>
  <c r="H82" i="88"/>
  <c r="H84" i="88"/>
  <c r="H86" i="88"/>
  <c r="C109" i="88"/>
  <c r="E108" i="88"/>
  <c r="E109" i="88" s="1"/>
  <c r="E100" i="88"/>
  <c r="G108" i="88"/>
  <c r="G109" i="88" s="1"/>
  <c r="G100" i="88"/>
  <c r="I108" i="88"/>
  <c r="I109" i="88" s="1"/>
  <c r="I100" i="88"/>
  <c r="K108" i="88"/>
  <c r="K109" i="88" s="1"/>
  <c r="K100" i="88"/>
  <c r="M108" i="88"/>
  <c r="M109" i="88" s="1"/>
  <c r="M100" i="88"/>
  <c r="C100" i="88"/>
  <c r="H55" i="88" l="1"/>
  <c r="H50" i="88"/>
  <c r="H54" i="88"/>
  <c r="H52" i="88"/>
  <c r="H48" i="88"/>
  <c r="H51" i="88"/>
  <c r="H56" i="88"/>
  <c r="H49" i="88"/>
  <c r="H53" i="88"/>
  <c r="G17" i="88"/>
  <c r="C16" i="88" s="1"/>
  <c r="D22" i="88"/>
  <c r="C107" i="88"/>
  <c r="C106" i="88"/>
  <c r="C105" i="88"/>
  <c r="C104" i="88"/>
  <c r="C103" i="88"/>
  <c r="C102" i="88"/>
  <c r="G107" i="88"/>
  <c r="G106" i="88"/>
  <c r="G105" i="88"/>
  <c r="G104" i="88"/>
  <c r="G103" i="88"/>
  <c r="G102" i="88"/>
  <c r="K107" i="88"/>
  <c r="K106" i="88"/>
  <c r="K105" i="88"/>
  <c r="K104" i="88"/>
  <c r="K103" i="88"/>
  <c r="K102" i="88"/>
  <c r="I118" i="88"/>
  <c r="J118" i="88" s="1"/>
  <c r="K118" i="88" s="1"/>
  <c r="L118" i="88" s="1"/>
  <c r="M118" i="88" s="1"/>
  <c r="G118" i="88"/>
  <c r="H118" i="88" s="1"/>
  <c r="I117" i="88"/>
  <c r="J117" i="88" s="1"/>
  <c r="K117" i="88" s="1"/>
  <c r="L117" i="88" s="1"/>
  <c r="M117" i="88" s="1"/>
  <c r="I116" i="88"/>
  <c r="J116" i="88" s="1"/>
  <c r="K116" i="88" s="1"/>
  <c r="L116" i="88" s="1"/>
  <c r="M116" i="88" s="1"/>
  <c r="I115" i="88"/>
  <c r="J115" i="88" s="1"/>
  <c r="K115" i="88" s="1"/>
  <c r="L115" i="88" s="1"/>
  <c r="M115" i="88" s="1"/>
  <c r="D118" i="88"/>
  <c r="E118" i="88" s="1"/>
  <c r="F118" i="88" s="1"/>
  <c r="B118" i="88"/>
  <c r="C118" i="88" s="1"/>
  <c r="D117" i="88"/>
  <c r="E117" i="88" s="1"/>
  <c r="F117" i="88" s="1"/>
  <c r="G117" i="88" s="1"/>
  <c r="H117" i="88" s="1"/>
  <c r="B117" i="88"/>
  <c r="C117" i="88" s="1"/>
  <c r="D116" i="88"/>
  <c r="E116" i="88" s="1"/>
  <c r="F116" i="88" s="1"/>
  <c r="G116" i="88" s="1"/>
  <c r="H116" i="88" s="1"/>
  <c r="B116" i="88"/>
  <c r="C116" i="88" s="1"/>
  <c r="D115" i="88"/>
  <c r="E115" i="88" s="1"/>
  <c r="F115" i="88" s="1"/>
  <c r="G115" i="88" s="1"/>
  <c r="H115" i="88" s="1"/>
  <c r="B115" i="88"/>
  <c r="F107" i="88"/>
  <c r="F106" i="88"/>
  <c r="F105" i="88"/>
  <c r="F104" i="88"/>
  <c r="F103" i="88"/>
  <c r="F102" i="88"/>
  <c r="J107" i="88"/>
  <c r="J106" i="88"/>
  <c r="J105" i="88"/>
  <c r="J104" i="88"/>
  <c r="J103" i="88"/>
  <c r="J102" i="88"/>
  <c r="N107" i="88"/>
  <c r="N106" i="88"/>
  <c r="N105" i="88"/>
  <c r="N104" i="88"/>
  <c r="N103" i="88"/>
  <c r="N102" i="88"/>
  <c r="H66" i="88"/>
  <c r="H64" i="88"/>
  <c r="H63" i="88"/>
  <c r="H60" i="88"/>
  <c r="H67" i="88"/>
  <c r="H65" i="88"/>
  <c r="H62" i="88"/>
  <c r="H61" i="88"/>
  <c r="H59" i="88"/>
  <c r="C7" i="88"/>
  <c r="E107" i="88"/>
  <c r="E106" i="88"/>
  <c r="E105" i="88"/>
  <c r="E104" i="88"/>
  <c r="E103" i="88"/>
  <c r="E102" i="88"/>
  <c r="I107" i="88"/>
  <c r="I106" i="88"/>
  <c r="I105" i="88"/>
  <c r="I104" i="88"/>
  <c r="I103" i="88"/>
  <c r="I102" i="88"/>
  <c r="M107" i="88"/>
  <c r="M106" i="88"/>
  <c r="M105" i="88"/>
  <c r="M104" i="88"/>
  <c r="M103" i="88"/>
  <c r="M102" i="88"/>
  <c r="D107" i="88"/>
  <c r="D106" i="88"/>
  <c r="D105" i="88"/>
  <c r="D104" i="88"/>
  <c r="D103" i="88"/>
  <c r="D102" i="88"/>
  <c r="H107" i="88"/>
  <c r="H106" i="88"/>
  <c r="H105" i="88"/>
  <c r="H104" i="88"/>
  <c r="H103" i="88"/>
  <c r="H102" i="88"/>
  <c r="L107" i="88"/>
  <c r="L106" i="88"/>
  <c r="L105" i="88"/>
  <c r="L104" i="88"/>
  <c r="L103" i="88"/>
  <c r="L102" i="88"/>
  <c r="C5" i="88" l="1"/>
  <c r="D5" i="88"/>
  <c r="C115" i="88"/>
  <c r="D113" i="88"/>
  <c r="D8" i="87" l="1"/>
  <c r="D7" i="87"/>
  <c r="D6" i="87"/>
  <c r="D5" i="87"/>
  <c r="C8" i="87"/>
  <c r="C7" i="87"/>
  <c r="C6" i="87"/>
  <c r="C5" i="87"/>
  <c r="B15" i="74"/>
  <c r="Y11" i="1"/>
  <c r="N11" i="1"/>
  <c r="F24" i="6"/>
  <c r="C24" i="6"/>
  <c r="K13" i="3"/>
  <c r="S13" i="3"/>
  <c r="C34" i="34"/>
  <c r="C33" i="33"/>
  <c r="Q13" i="3"/>
  <c r="O13" i="3"/>
  <c r="M13" i="3"/>
  <c r="I13" i="3"/>
  <c r="R48" i="35"/>
  <c r="S48" i="35" s="1"/>
  <c r="Q48" i="35"/>
  <c r="P48" i="35"/>
  <c r="E42" i="85"/>
  <c r="G42" i="85"/>
  <c r="G27" i="85"/>
  <c r="E27" i="85"/>
  <c r="G31" i="85"/>
  <c r="E31" i="85"/>
  <c r="E73" i="86"/>
  <c r="K72" i="86"/>
  <c r="G71" i="86"/>
  <c r="K71" i="86" s="1"/>
  <c r="G70" i="86"/>
  <c r="K70" i="86" s="1"/>
  <c r="G69" i="86"/>
  <c r="K69" i="86" s="1"/>
  <c r="G68" i="86"/>
  <c r="K68" i="86" s="1"/>
  <c r="G67" i="86"/>
  <c r="K67" i="86" s="1"/>
  <c r="G66" i="86"/>
  <c r="K66" i="86" s="1"/>
  <c r="G65" i="86"/>
  <c r="K65" i="86" s="1"/>
  <c r="G64" i="86"/>
  <c r="K64" i="86" s="1"/>
  <c r="G63" i="86"/>
  <c r="K63" i="86" s="1"/>
  <c r="G62" i="86"/>
  <c r="K62" i="86" s="1"/>
  <c r="G61" i="86"/>
  <c r="K61" i="86" s="1"/>
  <c r="G60" i="86"/>
  <c r="K60" i="86" s="1"/>
  <c r="G59" i="86"/>
  <c r="K59" i="86" s="1"/>
  <c r="G58" i="86"/>
  <c r="K58" i="86" s="1"/>
  <c r="G57" i="86"/>
  <c r="K57" i="86" s="1"/>
  <c r="G56" i="86"/>
  <c r="K56" i="86" s="1"/>
  <c r="G55" i="86"/>
  <c r="K55" i="86" s="1"/>
  <c r="G54" i="86"/>
  <c r="K54" i="86" s="1"/>
  <c r="G53" i="86"/>
  <c r="K53" i="86" s="1"/>
  <c r="G52" i="86"/>
  <c r="K52" i="86" s="1"/>
  <c r="G51" i="86"/>
  <c r="K51" i="86" s="1"/>
  <c r="G50" i="86"/>
  <c r="K50" i="86" s="1"/>
  <c r="G49" i="86"/>
  <c r="K49" i="86" s="1"/>
  <c r="G48" i="86"/>
  <c r="K48" i="86" s="1"/>
  <c r="G47" i="86"/>
  <c r="K47" i="86" s="1"/>
  <c r="G46" i="86"/>
  <c r="K46" i="86" s="1"/>
  <c r="G45" i="86"/>
  <c r="K45" i="86" s="1"/>
  <c r="G44" i="86"/>
  <c r="K44" i="86" s="1"/>
  <c r="G43" i="86"/>
  <c r="K43" i="86" s="1"/>
  <c r="G42" i="86"/>
  <c r="K42" i="86" s="1"/>
  <c r="G41" i="86"/>
  <c r="K41" i="86" s="1"/>
  <c r="G40" i="86"/>
  <c r="K40" i="86" s="1"/>
  <c r="G39" i="86"/>
  <c r="K39" i="86" s="1"/>
  <c r="G38" i="86"/>
  <c r="K38" i="86" s="1"/>
  <c r="G37" i="86"/>
  <c r="K37" i="86" s="1"/>
  <c r="G36" i="86"/>
  <c r="K36" i="86" s="1"/>
  <c r="G35" i="86"/>
  <c r="K35" i="86" s="1"/>
  <c r="G34" i="86"/>
  <c r="K34" i="86" s="1"/>
  <c r="G33" i="86"/>
  <c r="K33" i="86" s="1"/>
  <c r="G32" i="86"/>
  <c r="K32" i="86" s="1"/>
  <c r="G31" i="86"/>
  <c r="K31" i="86" s="1"/>
  <c r="G30" i="86"/>
  <c r="K30" i="86" s="1"/>
  <c r="G29" i="86"/>
  <c r="K29" i="86" s="1"/>
  <c r="G28" i="86"/>
  <c r="K28" i="86" s="1"/>
  <c r="G27" i="86"/>
  <c r="K27" i="86" s="1"/>
  <c r="G26" i="86"/>
  <c r="K26" i="86" s="1"/>
  <c r="G25" i="86"/>
  <c r="K25" i="86" s="1"/>
  <c r="G24" i="86"/>
  <c r="K24" i="86" s="1"/>
  <c r="G23" i="86"/>
  <c r="K23" i="86" s="1"/>
  <c r="G22" i="86"/>
  <c r="K22" i="86" s="1"/>
  <c r="G21" i="86"/>
  <c r="K21" i="86" s="1"/>
  <c r="G20" i="86"/>
  <c r="K20" i="86" s="1"/>
  <c r="G19" i="86"/>
  <c r="K19" i="86" s="1"/>
  <c r="G18" i="86"/>
  <c r="K18" i="86" s="1"/>
  <c r="G17" i="86"/>
  <c r="K17" i="86" s="1"/>
  <c r="G16" i="86"/>
  <c r="K16" i="86" s="1"/>
  <c r="G15" i="86"/>
  <c r="K15" i="86" s="1"/>
  <c r="G14" i="86"/>
  <c r="K14" i="86" s="1"/>
  <c r="G13" i="86"/>
  <c r="K13" i="86" s="1"/>
  <c r="G12" i="86"/>
  <c r="K12" i="86" s="1"/>
  <c r="G11" i="86"/>
  <c r="K11" i="86" s="1"/>
  <c r="G10" i="86"/>
  <c r="K10" i="86" s="1"/>
  <c r="G9" i="86"/>
  <c r="K9" i="86" s="1"/>
  <c r="G8" i="86"/>
  <c r="K8" i="86" s="1"/>
  <c r="G7" i="86"/>
  <c r="K7" i="86" s="1"/>
  <c r="G6" i="86"/>
  <c r="G73" i="86" s="1"/>
  <c r="K5" i="86"/>
  <c r="K4" i="86"/>
  <c r="G43" i="85" l="1"/>
  <c r="E43" i="85"/>
  <c r="K6" i="86"/>
  <c r="C29" i="35" l="1"/>
  <c r="G13" i="4"/>
  <c r="A120" i="84"/>
  <c r="A118" i="84"/>
  <c r="H111" i="84"/>
  <c r="D126" i="84" s="1"/>
  <c r="D127" i="84" s="1"/>
  <c r="E111" i="84"/>
  <c r="A126" i="84" s="1"/>
  <c r="E109" i="84"/>
  <c r="A124" i="84" s="1"/>
  <c r="H107" i="84"/>
  <c r="D122" i="84" s="1"/>
  <c r="D123" i="84" s="1"/>
  <c r="E107" i="84"/>
  <c r="A122" i="84" s="1"/>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A120" i="83"/>
  <c r="A118" i="83"/>
  <c r="H111" i="83"/>
  <c r="D126" i="83" s="1"/>
  <c r="D127" i="83" s="1"/>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Y7" i="1"/>
  <c r="Y8" i="1"/>
  <c r="Y9" i="1"/>
  <c r="Y10" i="1"/>
  <c r="Y6" i="1"/>
  <c r="C36" i="33"/>
  <c r="C37" i="34"/>
  <c r="I7" i="34"/>
  <c r="G7" i="34"/>
  <c r="E7" i="34"/>
  <c r="Q72" i="79"/>
  <c r="Q59" i="79"/>
  <c r="K59" i="79"/>
  <c r="P74" i="79" s="1"/>
  <c r="F59" i="79"/>
  <c r="Q58" i="79"/>
  <c r="Q51" i="79"/>
  <c r="J50" i="79"/>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R524" i="77"/>
  <c r="S524" i="77" s="1"/>
  <c r="Q524" i="77"/>
  <c r="O524" i="77"/>
  <c r="M524" i="77"/>
  <c r="K524" i="77"/>
  <c r="I524" i="77"/>
  <c r="G524" i="77"/>
  <c r="E524" i="77"/>
  <c r="C524" i="77"/>
  <c r="R523" i="77"/>
  <c r="S523" i="77" s="1"/>
  <c r="Q523" i="77"/>
  <c r="O523" i="77"/>
  <c r="M523" i="77"/>
  <c r="K523" i="77"/>
  <c r="I523" i="77"/>
  <c r="G523" i="77"/>
  <c r="E523" i="77"/>
  <c r="C523" i="77"/>
  <c r="R522" i="77"/>
  <c r="S522" i="77" s="1"/>
  <c r="Q522" i="77"/>
  <c r="O522" i="77"/>
  <c r="M522" i="77"/>
  <c r="K522" i="77"/>
  <c r="I522" i="77"/>
  <c r="G522" i="77"/>
  <c r="E522" i="77"/>
  <c r="C522" i="77"/>
  <c r="R521" i="77"/>
  <c r="S521" i="77" s="1"/>
  <c r="Q521" i="77"/>
  <c r="O521" i="77"/>
  <c r="M521" i="77"/>
  <c r="K521" i="77"/>
  <c r="I521" i="77"/>
  <c r="G521" i="77"/>
  <c r="E521" i="77"/>
  <c r="C521" i="77"/>
  <c r="R520" i="77"/>
  <c r="S520" i="77" s="1"/>
  <c r="Q520" i="77"/>
  <c r="O520" i="77"/>
  <c r="M520" i="77"/>
  <c r="K520" i="77"/>
  <c r="I520" i="77"/>
  <c r="G520" i="77"/>
  <c r="E520" i="77"/>
  <c r="C520" i="77"/>
  <c r="R519" i="77"/>
  <c r="S519" i="77" s="1"/>
  <c r="Q519" i="77"/>
  <c r="O519" i="77"/>
  <c r="M519" i="77"/>
  <c r="K519" i="77"/>
  <c r="I519" i="77"/>
  <c r="G519" i="77"/>
  <c r="E519" i="77"/>
  <c r="C519" i="77"/>
  <c r="R518" i="77"/>
  <c r="S518" i="77" s="1"/>
  <c r="Q518" i="77"/>
  <c r="O518" i="77"/>
  <c r="M518" i="77"/>
  <c r="K518" i="77"/>
  <c r="I518" i="77"/>
  <c r="G518" i="77"/>
  <c r="E518" i="77"/>
  <c r="C518" i="77"/>
  <c r="R517" i="77"/>
  <c r="S517" i="77" s="1"/>
  <c r="Q517" i="77"/>
  <c r="O517" i="77"/>
  <c r="M517" i="77"/>
  <c r="K517" i="77"/>
  <c r="I517" i="77"/>
  <c r="G517" i="77"/>
  <c r="E517" i="77"/>
  <c r="C517" i="77"/>
  <c r="R516" i="77"/>
  <c r="S516" i="77" s="1"/>
  <c r="Q516" i="77"/>
  <c r="O516" i="77"/>
  <c r="M516" i="77"/>
  <c r="K516" i="77"/>
  <c r="I516" i="77"/>
  <c r="G516" i="77"/>
  <c r="E516" i="77"/>
  <c r="C516" i="77"/>
  <c r="R515" i="77"/>
  <c r="S515" i="77" s="1"/>
  <c r="Q515" i="77"/>
  <c r="O515" i="77"/>
  <c r="M515" i="77"/>
  <c r="K515" i="77"/>
  <c r="I515" i="77"/>
  <c r="G515" i="77"/>
  <c r="E515" i="77"/>
  <c r="C515" i="77"/>
  <c r="R514" i="77"/>
  <c r="S514" i="77" s="1"/>
  <c r="Q514" i="77"/>
  <c r="O514" i="77"/>
  <c r="M514" i="77"/>
  <c r="K514" i="77"/>
  <c r="I514" i="77"/>
  <c r="G514" i="77"/>
  <c r="E514" i="77"/>
  <c r="C514" i="77"/>
  <c r="R513" i="77"/>
  <c r="S513" i="77" s="1"/>
  <c r="Q513" i="77"/>
  <c r="O513" i="77"/>
  <c r="M513" i="77"/>
  <c r="K513" i="77"/>
  <c r="I513" i="77"/>
  <c r="G513" i="77"/>
  <c r="E513" i="77"/>
  <c r="C513" i="77"/>
  <c r="R512" i="77"/>
  <c r="S512" i="77" s="1"/>
  <c r="Q512" i="77"/>
  <c r="O512" i="77"/>
  <c r="M512" i="77"/>
  <c r="K512" i="77"/>
  <c r="I512" i="77"/>
  <c r="G512" i="77"/>
  <c r="E512" i="77"/>
  <c r="C512" i="77"/>
  <c r="R511" i="77"/>
  <c r="S511" i="77" s="1"/>
  <c r="Q511" i="77"/>
  <c r="O511" i="77"/>
  <c r="M511" i="77"/>
  <c r="K511" i="77"/>
  <c r="I511" i="77"/>
  <c r="G511" i="77"/>
  <c r="E511" i="77"/>
  <c r="C511" i="77"/>
  <c r="R510" i="77"/>
  <c r="S510" i="77" s="1"/>
  <c r="Q510" i="77"/>
  <c r="O510" i="77"/>
  <c r="M510" i="77"/>
  <c r="K510" i="77"/>
  <c r="I510" i="77"/>
  <c r="G510" i="77"/>
  <c r="E510" i="77"/>
  <c r="C510" i="77"/>
  <c r="R509" i="77"/>
  <c r="S509" i="77" s="1"/>
  <c r="Q509" i="77"/>
  <c r="O509" i="77"/>
  <c r="M509" i="77"/>
  <c r="K509" i="77"/>
  <c r="I509" i="77"/>
  <c r="G509" i="77"/>
  <c r="E509" i="77"/>
  <c r="C509" i="77"/>
  <c r="R508" i="77"/>
  <c r="S508" i="77" s="1"/>
  <c r="Q508" i="77"/>
  <c r="O508" i="77"/>
  <c r="M508" i="77"/>
  <c r="K508" i="77"/>
  <c r="I508" i="77"/>
  <c r="G508" i="77"/>
  <c r="E508" i="77"/>
  <c r="C508" i="77"/>
  <c r="R507" i="77"/>
  <c r="S507" i="77" s="1"/>
  <c r="Q507" i="77"/>
  <c r="O507" i="77"/>
  <c r="M507" i="77"/>
  <c r="K507" i="77"/>
  <c r="I507" i="77"/>
  <c r="G507" i="77"/>
  <c r="E507" i="77"/>
  <c r="C507" i="77"/>
  <c r="R506" i="77"/>
  <c r="S506" i="77" s="1"/>
  <c r="Q506" i="77"/>
  <c r="O506" i="77"/>
  <c r="M506" i="77"/>
  <c r="K506" i="77"/>
  <c r="I506" i="77"/>
  <c r="G506" i="77"/>
  <c r="E506" i="77"/>
  <c r="C506" i="77"/>
  <c r="R505" i="77"/>
  <c r="S505" i="77" s="1"/>
  <c r="Q505" i="77"/>
  <c r="O505" i="77"/>
  <c r="M505" i="77"/>
  <c r="K505" i="77"/>
  <c r="I505" i="77"/>
  <c r="G505" i="77"/>
  <c r="E505" i="77"/>
  <c r="C505" i="77"/>
  <c r="R504" i="77"/>
  <c r="S504" i="77" s="1"/>
  <c r="Q504" i="77"/>
  <c r="O504" i="77"/>
  <c r="M504" i="77"/>
  <c r="K504" i="77"/>
  <c r="I504" i="77"/>
  <c r="G504" i="77"/>
  <c r="E504" i="77"/>
  <c r="C504" i="77"/>
  <c r="R503" i="77"/>
  <c r="S503" i="77" s="1"/>
  <c r="Q503" i="77"/>
  <c r="O503" i="77"/>
  <c r="M503" i="77"/>
  <c r="K503" i="77"/>
  <c r="I503" i="77"/>
  <c r="G503" i="77"/>
  <c r="E503" i="77"/>
  <c r="C503" i="77"/>
  <c r="R502" i="77"/>
  <c r="S502" i="77" s="1"/>
  <c r="Q502" i="77"/>
  <c r="O502" i="77"/>
  <c r="M502" i="77"/>
  <c r="K502" i="77"/>
  <c r="I502" i="77"/>
  <c r="G502" i="77"/>
  <c r="E502" i="77"/>
  <c r="C502" i="77"/>
  <c r="R501" i="77"/>
  <c r="S501" i="77" s="1"/>
  <c r="Q501" i="77"/>
  <c r="O501" i="77"/>
  <c r="M501" i="77"/>
  <c r="K501" i="77"/>
  <c r="I501" i="77"/>
  <c r="G501" i="77"/>
  <c r="E501" i="77"/>
  <c r="C501" i="77"/>
  <c r="R500" i="77"/>
  <c r="S500" i="77" s="1"/>
  <c r="Q500" i="77"/>
  <c r="O500" i="77"/>
  <c r="M500" i="77"/>
  <c r="K500" i="77"/>
  <c r="I500" i="77"/>
  <c r="G500" i="77"/>
  <c r="E500" i="77"/>
  <c r="C500" i="77"/>
  <c r="R499" i="77"/>
  <c r="S499" i="77" s="1"/>
  <c r="Q499" i="77"/>
  <c r="O499" i="77"/>
  <c r="M499" i="77"/>
  <c r="K499" i="77"/>
  <c r="I499" i="77"/>
  <c r="G499" i="77"/>
  <c r="E499" i="77"/>
  <c r="C499" i="77"/>
  <c r="R498" i="77"/>
  <c r="S498" i="77" s="1"/>
  <c r="Q498" i="77"/>
  <c r="O498" i="77"/>
  <c r="M498" i="77"/>
  <c r="K498" i="77"/>
  <c r="I498" i="77"/>
  <c r="G498" i="77"/>
  <c r="E498" i="77"/>
  <c r="C498" i="77"/>
  <c r="R497" i="77"/>
  <c r="S497" i="77" s="1"/>
  <c r="Q497" i="77"/>
  <c r="O497" i="77"/>
  <c r="M497" i="77"/>
  <c r="K497" i="77"/>
  <c r="I497" i="77"/>
  <c r="G497" i="77"/>
  <c r="E497" i="77"/>
  <c r="C497" i="77"/>
  <c r="R496" i="77"/>
  <c r="S496" i="77" s="1"/>
  <c r="Q496" i="77"/>
  <c r="O496" i="77"/>
  <c r="M496" i="77"/>
  <c r="K496" i="77"/>
  <c r="I496" i="77"/>
  <c r="G496" i="77"/>
  <c r="E496" i="77"/>
  <c r="C496" i="77"/>
  <c r="R495" i="77"/>
  <c r="S495" i="77" s="1"/>
  <c r="Q495" i="77"/>
  <c r="O495" i="77"/>
  <c r="M495" i="77"/>
  <c r="K495" i="77"/>
  <c r="I495" i="77"/>
  <c r="G495" i="77"/>
  <c r="E495" i="77"/>
  <c r="C495" i="77"/>
  <c r="R494" i="77"/>
  <c r="S494" i="77" s="1"/>
  <c r="Q494" i="77"/>
  <c r="O494" i="77"/>
  <c r="M494" i="77"/>
  <c r="K494" i="77"/>
  <c r="I494" i="77"/>
  <c r="G494" i="77"/>
  <c r="E494" i="77"/>
  <c r="C494" i="77"/>
  <c r="R493" i="77"/>
  <c r="S493" i="77" s="1"/>
  <c r="Q493" i="77"/>
  <c r="O493" i="77"/>
  <c r="M493" i="77"/>
  <c r="K493" i="77"/>
  <c r="I493" i="77"/>
  <c r="G493" i="77"/>
  <c r="E493" i="77"/>
  <c r="C493" i="77"/>
  <c r="R492" i="77"/>
  <c r="S492" i="77" s="1"/>
  <c r="Q492" i="77"/>
  <c r="O492" i="77"/>
  <c r="M492" i="77"/>
  <c r="K492" i="77"/>
  <c r="I492" i="77"/>
  <c r="G492" i="77"/>
  <c r="E492" i="77"/>
  <c r="C492" i="77"/>
  <c r="R491" i="77"/>
  <c r="S491" i="77" s="1"/>
  <c r="Q491" i="77"/>
  <c r="O491" i="77"/>
  <c r="M491" i="77"/>
  <c r="K491" i="77"/>
  <c r="I491" i="77"/>
  <c r="G491" i="77"/>
  <c r="E491" i="77"/>
  <c r="C491" i="77"/>
  <c r="R490" i="77"/>
  <c r="S490" i="77" s="1"/>
  <c r="Q490" i="77"/>
  <c r="O490" i="77"/>
  <c r="M490" i="77"/>
  <c r="K490" i="77"/>
  <c r="I490" i="77"/>
  <c r="G490" i="77"/>
  <c r="E490" i="77"/>
  <c r="C490" i="77"/>
  <c r="R489" i="77"/>
  <c r="S489" i="77" s="1"/>
  <c r="Q489" i="77"/>
  <c r="O489" i="77"/>
  <c r="M489" i="77"/>
  <c r="K489" i="77"/>
  <c r="I489" i="77"/>
  <c r="G489" i="77"/>
  <c r="E489" i="77"/>
  <c r="C489" i="77"/>
  <c r="R488" i="77"/>
  <c r="S488" i="77" s="1"/>
  <c r="Q488" i="77"/>
  <c r="O488" i="77"/>
  <c r="M488" i="77"/>
  <c r="K488" i="77"/>
  <c r="I488" i="77"/>
  <c r="G488" i="77"/>
  <c r="E488" i="77"/>
  <c r="C488" i="77"/>
  <c r="R487" i="77"/>
  <c r="S487" i="77" s="1"/>
  <c r="Q487" i="77"/>
  <c r="O487" i="77"/>
  <c r="M487" i="77"/>
  <c r="K487" i="77"/>
  <c r="I487" i="77"/>
  <c r="G487" i="77"/>
  <c r="E487" i="77"/>
  <c r="C487" i="77"/>
  <c r="R486" i="77"/>
  <c r="S486" i="77" s="1"/>
  <c r="Q486" i="77"/>
  <c r="O486" i="77"/>
  <c r="M486" i="77"/>
  <c r="K486" i="77"/>
  <c r="I486" i="77"/>
  <c r="G486" i="77"/>
  <c r="E486" i="77"/>
  <c r="C486" i="77"/>
  <c r="R485" i="77"/>
  <c r="S485" i="77" s="1"/>
  <c r="Q485" i="77"/>
  <c r="O485" i="77"/>
  <c r="M485" i="77"/>
  <c r="K485" i="77"/>
  <c r="I485" i="77"/>
  <c r="G485" i="77"/>
  <c r="E485" i="77"/>
  <c r="C485" i="77"/>
  <c r="R484" i="77"/>
  <c r="S484" i="77" s="1"/>
  <c r="Q484" i="77"/>
  <c r="O484" i="77"/>
  <c r="M484" i="77"/>
  <c r="K484" i="77"/>
  <c r="I484" i="77"/>
  <c r="G484" i="77"/>
  <c r="E484" i="77"/>
  <c r="C484" i="77"/>
  <c r="R483" i="77"/>
  <c r="S483" i="77" s="1"/>
  <c r="Q483" i="77"/>
  <c r="O483" i="77"/>
  <c r="M483" i="77"/>
  <c r="K483" i="77"/>
  <c r="I483" i="77"/>
  <c r="G483" i="77"/>
  <c r="E483" i="77"/>
  <c r="C483" i="77"/>
  <c r="R482" i="77"/>
  <c r="S482" i="77" s="1"/>
  <c r="Q482" i="77"/>
  <c r="O482" i="77"/>
  <c r="M482" i="77"/>
  <c r="K482" i="77"/>
  <c r="I482" i="77"/>
  <c r="G482" i="77"/>
  <c r="E482" i="77"/>
  <c r="C482" i="77"/>
  <c r="R481" i="77"/>
  <c r="S481" i="77" s="1"/>
  <c r="Q481" i="77"/>
  <c r="O481" i="77"/>
  <c r="M481" i="77"/>
  <c r="K481" i="77"/>
  <c r="I481" i="77"/>
  <c r="G481" i="77"/>
  <c r="E481" i="77"/>
  <c r="C481" i="77"/>
  <c r="R480" i="77"/>
  <c r="S480" i="77" s="1"/>
  <c r="Q480" i="77"/>
  <c r="O480" i="77"/>
  <c r="M480" i="77"/>
  <c r="K480" i="77"/>
  <c r="I480" i="77"/>
  <c r="G480" i="77"/>
  <c r="E480" i="77"/>
  <c r="C480" i="77"/>
  <c r="R479" i="77"/>
  <c r="S479" i="77" s="1"/>
  <c r="Q479" i="77"/>
  <c r="O479" i="77"/>
  <c r="M479" i="77"/>
  <c r="K479" i="77"/>
  <c r="I479" i="77"/>
  <c r="G479" i="77"/>
  <c r="E479" i="77"/>
  <c r="C479" i="77"/>
  <c r="R478" i="77"/>
  <c r="S478" i="77" s="1"/>
  <c r="Q478" i="77"/>
  <c r="O478" i="77"/>
  <c r="M478" i="77"/>
  <c r="K478" i="77"/>
  <c r="I478" i="77"/>
  <c r="G478" i="77"/>
  <c r="E478" i="77"/>
  <c r="C478" i="77"/>
  <c r="R477" i="77"/>
  <c r="S477" i="77" s="1"/>
  <c r="Q477" i="77"/>
  <c r="O477" i="77"/>
  <c r="M477" i="77"/>
  <c r="K477" i="77"/>
  <c r="I477" i="77"/>
  <c r="G477" i="77"/>
  <c r="E477" i="77"/>
  <c r="C477" i="77"/>
  <c r="R476" i="77"/>
  <c r="S476" i="77" s="1"/>
  <c r="Q476" i="77"/>
  <c r="O476" i="77"/>
  <c r="M476" i="77"/>
  <c r="K476" i="77"/>
  <c r="I476" i="77"/>
  <c r="G476" i="77"/>
  <c r="E476" i="77"/>
  <c r="C476" i="77"/>
  <c r="R475" i="77"/>
  <c r="S475" i="77" s="1"/>
  <c r="Q475" i="77"/>
  <c r="O475" i="77"/>
  <c r="M475" i="77"/>
  <c r="K475" i="77"/>
  <c r="I475" i="77"/>
  <c r="G475" i="77"/>
  <c r="E475" i="77"/>
  <c r="C475" i="77"/>
  <c r="R474" i="77"/>
  <c r="S474" i="77" s="1"/>
  <c r="Q474" i="77"/>
  <c r="O474" i="77"/>
  <c r="M474" i="77"/>
  <c r="K474" i="77"/>
  <c r="I474" i="77"/>
  <c r="G474" i="77"/>
  <c r="E474" i="77"/>
  <c r="C474" i="77"/>
  <c r="R473" i="77"/>
  <c r="S473" i="77" s="1"/>
  <c r="Q473" i="77"/>
  <c r="O473" i="77"/>
  <c r="M473" i="77"/>
  <c r="K473" i="77"/>
  <c r="I473" i="77"/>
  <c r="G473" i="77"/>
  <c r="E473" i="77"/>
  <c r="C473" i="77"/>
  <c r="R472" i="77"/>
  <c r="S472" i="77" s="1"/>
  <c r="Q472" i="77"/>
  <c r="O472" i="77"/>
  <c r="M472" i="77"/>
  <c r="K472" i="77"/>
  <c r="I472" i="77"/>
  <c r="G472" i="77"/>
  <c r="E472" i="77"/>
  <c r="C472" i="77"/>
  <c r="R471" i="77"/>
  <c r="S471" i="77" s="1"/>
  <c r="Q471" i="77"/>
  <c r="O471" i="77"/>
  <c r="M471" i="77"/>
  <c r="K471" i="77"/>
  <c r="I471" i="77"/>
  <c r="G471" i="77"/>
  <c r="E471" i="77"/>
  <c r="C471" i="77"/>
  <c r="R470" i="77"/>
  <c r="S470" i="77" s="1"/>
  <c r="Q470" i="77"/>
  <c r="O470" i="77"/>
  <c r="M470" i="77"/>
  <c r="K470" i="77"/>
  <c r="I470" i="77"/>
  <c r="G470" i="77"/>
  <c r="E470" i="77"/>
  <c r="C470" i="77"/>
  <c r="R469" i="77"/>
  <c r="S469" i="77" s="1"/>
  <c r="Q469" i="77"/>
  <c r="O469" i="77"/>
  <c r="M469" i="77"/>
  <c r="K469" i="77"/>
  <c r="I469" i="77"/>
  <c r="G469" i="77"/>
  <c r="E469" i="77"/>
  <c r="C469" i="77"/>
  <c r="R468" i="77"/>
  <c r="S468" i="77" s="1"/>
  <c r="Q468" i="77"/>
  <c r="O468" i="77"/>
  <c r="M468" i="77"/>
  <c r="K468" i="77"/>
  <c r="I468" i="77"/>
  <c r="G468" i="77"/>
  <c r="E468" i="77"/>
  <c r="C468" i="77"/>
  <c r="R467" i="77"/>
  <c r="S467" i="77" s="1"/>
  <c r="Q467" i="77"/>
  <c r="O467" i="77"/>
  <c r="M467" i="77"/>
  <c r="K467" i="77"/>
  <c r="I467" i="77"/>
  <c r="G467" i="77"/>
  <c r="E467" i="77"/>
  <c r="C467" i="77"/>
  <c r="R466" i="77"/>
  <c r="S466" i="77" s="1"/>
  <c r="Q466" i="77"/>
  <c r="O466" i="77"/>
  <c r="M466" i="77"/>
  <c r="K466" i="77"/>
  <c r="I466" i="77"/>
  <c r="G466" i="77"/>
  <c r="E466" i="77"/>
  <c r="C466" i="77"/>
  <c r="R465" i="77"/>
  <c r="S465" i="77" s="1"/>
  <c r="Q465" i="77"/>
  <c r="O465" i="77"/>
  <c r="M465" i="77"/>
  <c r="K465" i="77"/>
  <c r="I465" i="77"/>
  <c r="G465" i="77"/>
  <c r="E465" i="77"/>
  <c r="C465" i="77"/>
  <c r="R464" i="77"/>
  <c r="S464" i="77" s="1"/>
  <c r="Q464" i="77"/>
  <c r="O464" i="77"/>
  <c r="M464" i="77"/>
  <c r="K464" i="77"/>
  <c r="I464" i="77"/>
  <c r="G464" i="77"/>
  <c r="E464" i="77"/>
  <c r="C464" i="77"/>
  <c r="R463" i="77"/>
  <c r="S463" i="77" s="1"/>
  <c r="Q463" i="77"/>
  <c r="O463" i="77"/>
  <c r="M463" i="77"/>
  <c r="K463" i="77"/>
  <c r="I463" i="77"/>
  <c r="G463" i="77"/>
  <c r="E463" i="77"/>
  <c r="C463" i="77"/>
  <c r="R462" i="77"/>
  <c r="S462" i="77" s="1"/>
  <c r="Q462" i="77"/>
  <c r="O462" i="77"/>
  <c r="M462" i="77"/>
  <c r="K462" i="77"/>
  <c r="I462" i="77"/>
  <c r="G462" i="77"/>
  <c r="E462" i="77"/>
  <c r="C462" i="77"/>
  <c r="R461" i="77"/>
  <c r="S461" i="77" s="1"/>
  <c r="Q461" i="77"/>
  <c r="O461" i="77"/>
  <c r="M461" i="77"/>
  <c r="K461" i="77"/>
  <c r="I461" i="77"/>
  <c r="G461" i="77"/>
  <c r="E461" i="77"/>
  <c r="C461" i="77"/>
  <c r="R460" i="77"/>
  <c r="S460" i="77" s="1"/>
  <c r="Q460" i="77"/>
  <c r="O460" i="77"/>
  <c r="M460" i="77"/>
  <c r="K460" i="77"/>
  <c r="I460" i="77"/>
  <c r="G460" i="77"/>
  <c r="E460" i="77"/>
  <c r="C460" i="77"/>
  <c r="R459" i="77"/>
  <c r="S459" i="77" s="1"/>
  <c r="Q459" i="77"/>
  <c r="O459" i="77"/>
  <c r="M459" i="77"/>
  <c r="K459" i="77"/>
  <c r="I459" i="77"/>
  <c r="G459" i="77"/>
  <c r="E459" i="77"/>
  <c r="C459" i="77"/>
  <c r="R458" i="77"/>
  <c r="S458" i="77" s="1"/>
  <c r="Q458" i="77"/>
  <c r="O458" i="77"/>
  <c r="M458" i="77"/>
  <c r="K458" i="77"/>
  <c r="I458" i="77"/>
  <c r="G458" i="77"/>
  <c r="E458" i="77"/>
  <c r="C458" i="77"/>
  <c r="R457" i="77"/>
  <c r="S457" i="77" s="1"/>
  <c r="Q457" i="77"/>
  <c r="O457" i="77"/>
  <c r="M457" i="77"/>
  <c r="K457" i="77"/>
  <c r="I457" i="77"/>
  <c r="G457" i="77"/>
  <c r="E457" i="77"/>
  <c r="C457" i="77"/>
  <c r="R456" i="77"/>
  <c r="S456" i="77" s="1"/>
  <c r="Q456" i="77"/>
  <c r="O456" i="77"/>
  <c r="M456" i="77"/>
  <c r="K456" i="77"/>
  <c r="I456" i="77"/>
  <c r="G456" i="77"/>
  <c r="E456" i="77"/>
  <c r="C456" i="77"/>
  <c r="R455" i="77"/>
  <c r="S455" i="77" s="1"/>
  <c r="Q455" i="77"/>
  <c r="O455" i="77"/>
  <c r="M455" i="77"/>
  <c r="K455" i="77"/>
  <c r="I455" i="77"/>
  <c r="G455" i="77"/>
  <c r="E455" i="77"/>
  <c r="C455" i="77"/>
  <c r="R454" i="77"/>
  <c r="S454" i="77" s="1"/>
  <c r="Q454" i="77"/>
  <c r="O454" i="77"/>
  <c r="M454" i="77"/>
  <c r="K454" i="77"/>
  <c r="I454" i="77"/>
  <c r="G454" i="77"/>
  <c r="E454" i="77"/>
  <c r="C454" i="77"/>
  <c r="R453" i="77"/>
  <c r="S453" i="77" s="1"/>
  <c r="Q453" i="77"/>
  <c r="O453" i="77"/>
  <c r="M453" i="77"/>
  <c r="K453" i="77"/>
  <c r="I453" i="77"/>
  <c r="G453" i="77"/>
  <c r="E453" i="77"/>
  <c r="C453" i="77"/>
  <c r="R452" i="77"/>
  <c r="S452" i="77" s="1"/>
  <c r="Q452" i="77"/>
  <c r="O452" i="77"/>
  <c r="M452" i="77"/>
  <c r="K452" i="77"/>
  <c r="I452" i="77"/>
  <c r="G452" i="77"/>
  <c r="E452" i="77"/>
  <c r="C452" i="77"/>
  <c r="R451" i="77"/>
  <c r="S451" i="77" s="1"/>
  <c r="Q451" i="77"/>
  <c r="O451" i="77"/>
  <c r="M451" i="77"/>
  <c r="K451" i="77"/>
  <c r="I451" i="77"/>
  <c r="G451" i="77"/>
  <c r="E451" i="77"/>
  <c r="C451" i="77"/>
  <c r="R450" i="77"/>
  <c r="S450" i="77" s="1"/>
  <c r="Q450" i="77"/>
  <c r="O450" i="77"/>
  <c r="M450" i="77"/>
  <c r="K450" i="77"/>
  <c r="I450" i="77"/>
  <c r="G450" i="77"/>
  <c r="E450" i="77"/>
  <c r="C450" i="77"/>
  <c r="R449" i="77"/>
  <c r="S449" i="77" s="1"/>
  <c r="Q449" i="77"/>
  <c r="O449" i="77"/>
  <c r="M449" i="77"/>
  <c r="K449" i="77"/>
  <c r="I449" i="77"/>
  <c r="G449" i="77"/>
  <c r="E449" i="77"/>
  <c r="C449" i="77"/>
  <c r="R448" i="77"/>
  <c r="S448" i="77" s="1"/>
  <c r="Q448" i="77"/>
  <c r="O448" i="77"/>
  <c r="M448" i="77"/>
  <c r="K448" i="77"/>
  <c r="I448" i="77"/>
  <c r="G448" i="77"/>
  <c r="E448" i="77"/>
  <c r="C448" i="77"/>
  <c r="R447" i="77"/>
  <c r="S447" i="77" s="1"/>
  <c r="Q447" i="77"/>
  <c r="O447" i="77"/>
  <c r="M447" i="77"/>
  <c r="K447" i="77"/>
  <c r="I447" i="77"/>
  <c r="G447" i="77"/>
  <c r="E447" i="77"/>
  <c r="C447" i="77"/>
  <c r="R446" i="77"/>
  <c r="S446" i="77" s="1"/>
  <c r="Q446" i="77"/>
  <c r="O446" i="77"/>
  <c r="M446" i="77"/>
  <c r="K446" i="77"/>
  <c r="I446" i="77"/>
  <c r="G446" i="77"/>
  <c r="E446" i="77"/>
  <c r="C446" i="77"/>
  <c r="R445" i="77"/>
  <c r="S445" i="77" s="1"/>
  <c r="Q445" i="77"/>
  <c r="O445" i="77"/>
  <c r="M445" i="77"/>
  <c r="K445" i="77"/>
  <c r="I445" i="77"/>
  <c r="G445" i="77"/>
  <c r="E445" i="77"/>
  <c r="C445" i="77"/>
  <c r="R444" i="77"/>
  <c r="S444" i="77" s="1"/>
  <c r="Q444" i="77"/>
  <c r="O444" i="77"/>
  <c r="M444" i="77"/>
  <c r="K444" i="77"/>
  <c r="I444" i="77"/>
  <c r="G444" i="77"/>
  <c r="E444" i="77"/>
  <c r="C444" i="77"/>
  <c r="R443" i="77"/>
  <c r="S443" i="77" s="1"/>
  <c r="Q443" i="77"/>
  <c r="O443" i="77"/>
  <c r="M443" i="77"/>
  <c r="K443" i="77"/>
  <c r="I443" i="77"/>
  <c r="G443" i="77"/>
  <c r="E443" i="77"/>
  <c r="C443" i="77"/>
  <c r="R442" i="77"/>
  <c r="S442" i="77" s="1"/>
  <c r="Q442" i="77"/>
  <c r="O442" i="77"/>
  <c r="M442" i="77"/>
  <c r="K442" i="77"/>
  <c r="I442" i="77"/>
  <c r="G442" i="77"/>
  <c r="E442" i="77"/>
  <c r="C442" i="77"/>
  <c r="R441" i="77"/>
  <c r="S441" i="77" s="1"/>
  <c r="Q441" i="77"/>
  <c r="O441" i="77"/>
  <c r="M441" i="77"/>
  <c r="K441" i="77"/>
  <c r="I441" i="77"/>
  <c r="G441" i="77"/>
  <c r="E441" i="77"/>
  <c r="C441" i="77"/>
  <c r="R440" i="77"/>
  <c r="S440" i="77" s="1"/>
  <c r="Q440" i="77"/>
  <c r="O440" i="77"/>
  <c r="M440" i="77"/>
  <c r="K440" i="77"/>
  <c r="I440" i="77"/>
  <c r="G440" i="77"/>
  <c r="E440" i="77"/>
  <c r="C440" i="77"/>
  <c r="R439" i="77"/>
  <c r="S439" i="77" s="1"/>
  <c r="Q439" i="77"/>
  <c r="O439" i="77"/>
  <c r="M439" i="77"/>
  <c r="K439" i="77"/>
  <c r="I439" i="77"/>
  <c r="G439" i="77"/>
  <c r="E439" i="77"/>
  <c r="C439" i="77"/>
  <c r="R438" i="77"/>
  <c r="S438" i="77" s="1"/>
  <c r="Q438" i="77"/>
  <c r="O438" i="77"/>
  <c r="M438" i="77"/>
  <c r="K438" i="77"/>
  <c r="I438" i="77"/>
  <c r="G438" i="77"/>
  <c r="E438" i="77"/>
  <c r="C438" i="77"/>
  <c r="R437" i="77"/>
  <c r="S437" i="77" s="1"/>
  <c r="Q437" i="77"/>
  <c r="O437" i="77"/>
  <c r="M437" i="77"/>
  <c r="K437" i="77"/>
  <c r="I437" i="77"/>
  <c r="G437" i="77"/>
  <c r="E437" i="77"/>
  <c r="C437" i="77"/>
  <c r="R436" i="77"/>
  <c r="S436" i="77" s="1"/>
  <c r="Q436" i="77"/>
  <c r="O436" i="77"/>
  <c r="M436" i="77"/>
  <c r="K436" i="77"/>
  <c r="I436" i="77"/>
  <c r="G436" i="77"/>
  <c r="E436" i="77"/>
  <c r="C436" i="77"/>
  <c r="R435" i="77"/>
  <c r="S435" i="77" s="1"/>
  <c r="Q435" i="77"/>
  <c r="O435" i="77"/>
  <c r="M435" i="77"/>
  <c r="K435" i="77"/>
  <c r="I435" i="77"/>
  <c r="G435" i="77"/>
  <c r="E435" i="77"/>
  <c r="C435" i="77"/>
  <c r="R434" i="77"/>
  <c r="S434" i="77" s="1"/>
  <c r="Q434" i="77"/>
  <c r="O434" i="77"/>
  <c r="M434" i="77"/>
  <c r="K434" i="77"/>
  <c r="I434" i="77"/>
  <c r="G434" i="77"/>
  <c r="E434" i="77"/>
  <c r="C434" i="77"/>
  <c r="R433" i="77"/>
  <c r="S433" i="77" s="1"/>
  <c r="Q433" i="77"/>
  <c r="O433" i="77"/>
  <c r="M433" i="77"/>
  <c r="K433" i="77"/>
  <c r="I433" i="77"/>
  <c r="G433" i="77"/>
  <c r="E433" i="77"/>
  <c r="C433" i="77"/>
  <c r="R432" i="77"/>
  <c r="S432" i="77" s="1"/>
  <c r="Q432" i="77"/>
  <c r="O432" i="77"/>
  <c r="M432" i="77"/>
  <c r="K432" i="77"/>
  <c r="I432" i="77"/>
  <c r="G432" i="77"/>
  <c r="E432" i="77"/>
  <c r="C432" i="77"/>
  <c r="R431" i="77"/>
  <c r="S431" i="77" s="1"/>
  <c r="Q431" i="77"/>
  <c r="O431" i="77"/>
  <c r="M431" i="77"/>
  <c r="K431" i="77"/>
  <c r="I431" i="77"/>
  <c r="G431" i="77"/>
  <c r="E431" i="77"/>
  <c r="C431" i="77"/>
  <c r="R430" i="77"/>
  <c r="S430" i="77" s="1"/>
  <c r="Q430" i="77"/>
  <c r="O430" i="77"/>
  <c r="M430" i="77"/>
  <c r="K430" i="77"/>
  <c r="I430" i="77"/>
  <c r="G430" i="77"/>
  <c r="E430" i="77"/>
  <c r="C430" i="77"/>
  <c r="R429" i="77"/>
  <c r="S429" i="77" s="1"/>
  <c r="Q429" i="77"/>
  <c r="O429" i="77"/>
  <c r="M429" i="77"/>
  <c r="K429" i="77"/>
  <c r="I429" i="77"/>
  <c r="G429" i="77"/>
  <c r="E429" i="77"/>
  <c r="C429" i="77"/>
  <c r="R428" i="77"/>
  <c r="S428" i="77" s="1"/>
  <c r="Q428" i="77"/>
  <c r="O428" i="77"/>
  <c r="M428" i="77"/>
  <c r="K428" i="77"/>
  <c r="I428" i="77"/>
  <c r="G428" i="77"/>
  <c r="E428" i="77"/>
  <c r="C428" i="77"/>
  <c r="R427" i="77"/>
  <c r="S427" i="77" s="1"/>
  <c r="Q427" i="77"/>
  <c r="O427" i="77"/>
  <c r="M427" i="77"/>
  <c r="K427" i="77"/>
  <c r="I427" i="77"/>
  <c r="G427" i="77"/>
  <c r="E427" i="77"/>
  <c r="C427" i="77"/>
  <c r="R426" i="77"/>
  <c r="S426" i="77" s="1"/>
  <c r="Q426" i="77"/>
  <c r="O426" i="77"/>
  <c r="M426" i="77"/>
  <c r="K426" i="77"/>
  <c r="I426" i="77"/>
  <c r="G426" i="77"/>
  <c r="E426" i="77"/>
  <c r="C426" i="77"/>
  <c r="R425" i="77"/>
  <c r="S425" i="77" s="1"/>
  <c r="Q425" i="77"/>
  <c r="O425" i="77"/>
  <c r="M425" i="77"/>
  <c r="K425" i="77"/>
  <c r="I425" i="77"/>
  <c r="G425" i="77"/>
  <c r="E425" i="77"/>
  <c r="C425" i="77"/>
  <c r="R424" i="77"/>
  <c r="S424" i="77" s="1"/>
  <c r="Q424" i="77"/>
  <c r="O424" i="77"/>
  <c r="M424" i="77"/>
  <c r="K424" i="77"/>
  <c r="I424" i="77"/>
  <c r="G424" i="77"/>
  <c r="E424" i="77"/>
  <c r="C424" i="77"/>
  <c r="R423" i="77"/>
  <c r="S423" i="77" s="1"/>
  <c r="Q423" i="77"/>
  <c r="O423" i="77"/>
  <c r="M423" i="77"/>
  <c r="K423" i="77"/>
  <c r="I423" i="77"/>
  <c r="G423" i="77"/>
  <c r="E423" i="77"/>
  <c r="C423" i="77"/>
  <c r="R422" i="77"/>
  <c r="S422" i="77" s="1"/>
  <c r="Q422" i="77"/>
  <c r="O422" i="77"/>
  <c r="M422" i="77"/>
  <c r="K422" i="77"/>
  <c r="I422" i="77"/>
  <c r="G422" i="77"/>
  <c r="E422" i="77"/>
  <c r="C422" i="77"/>
  <c r="R421" i="77"/>
  <c r="S421" i="77" s="1"/>
  <c r="Q421" i="77"/>
  <c r="O421" i="77"/>
  <c r="M421" i="77"/>
  <c r="K421" i="77"/>
  <c r="I421" i="77"/>
  <c r="G421" i="77"/>
  <c r="E421" i="77"/>
  <c r="C421" i="77"/>
  <c r="R420" i="77"/>
  <c r="S420" i="77" s="1"/>
  <c r="Q420" i="77"/>
  <c r="O420" i="77"/>
  <c r="M420" i="77"/>
  <c r="K420" i="77"/>
  <c r="I420" i="77"/>
  <c r="G420" i="77"/>
  <c r="E420" i="77"/>
  <c r="C420" i="77"/>
  <c r="R419" i="77"/>
  <c r="S419" i="77" s="1"/>
  <c r="Q419" i="77"/>
  <c r="O419" i="77"/>
  <c r="M419" i="77"/>
  <c r="K419" i="77"/>
  <c r="I419" i="77"/>
  <c r="G419" i="77"/>
  <c r="E419" i="77"/>
  <c r="C419" i="77"/>
  <c r="R418" i="77"/>
  <c r="S418" i="77" s="1"/>
  <c r="Q418" i="77"/>
  <c r="O418" i="77"/>
  <c r="M418" i="77"/>
  <c r="K418" i="77"/>
  <c r="I418" i="77"/>
  <c r="G418" i="77"/>
  <c r="E418" i="77"/>
  <c r="C418" i="77"/>
  <c r="R417" i="77"/>
  <c r="S417" i="77" s="1"/>
  <c r="Q417" i="77"/>
  <c r="O417" i="77"/>
  <c r="M417" i="77"/>
  <c r="K417" i="77"/>
  <c r="I417" i="77"/>
  <c r="G417" i="77"/>
  <c r="E417" i="77"/>
  <c r="C417" i="77"/>
  <c r="R416" i="77"/>
  <c r="S416" i="77" s="1"/>
  <c r="Q416" i="77"/>
  <c r="O416" i="77"/>
  <c r="M416" i="77"/>
  <c r="K416" i="77"/>
  <c r="I416" i="77"/>
  <c r="G416" i="77"/>
  <c r="E416" i="77"/>
  <c r="C416" i="77"/>
  <c r="R415" i="77"/>
  <c r="S415" i="77" s="1"/>
  <c r="Q415" i="77"/>
  <c r="O415" i="77"/>
  <c r="M415" i="77"/>
  <c r="K415" i="77"/>
  <c r="I415" i="77"/>
  <c r="G415" i="77"/>
  <c r="E415" i="77"/>
  <c r="C415" i="77"/>
  <c r="R414" i="77"/>
  <c r="S414" i="77" s="1"/>
  <c r="Q414" i="77"/>
  <c r="O414" i="77"/>
  <c r="M414" i="77"/>
  <c r="K414" i="77"/>
  <c r="I414" i="77"/>
  <c r="G414" i="77"/>
  <c r="E414" i="77"/>
  <c r="C414" i="77"/>
  <c r="R413" i="77"/>
  <c r="S413" i="77" s="1"/>
  <c r="Q413" i="77"/>
  <c r="O413" i="77"/>
  <c r="M413" i="77"/>
  <c r="K413" i="77"/>
  <c r="I413" i="77"/>
  <c r="G413" i="77"/>
  <c r="E413" i="77"/>
  <c r="C413" i="77"/>
  <c r="R412" i="77"/>
  <c r="S412" i="77" s="1"/>
  <c r="Q412" i="77"/>
  <c r="O412" i="77"/>
  <c r="M412" i="77"/>
  <c r="K412" i="77"/>
  <c r="I412" i="77"/>
  <c r="G412" i="77"/>
  <c r="E412" i="77"/>
  <c r="C412" i="77"/>
  <c r="R411" i="77"/>
  <c r="S411" i="77" s="1"/>
  <c r="Q411" i="77"/>
  <c r="O411" i="77"/>
  <c r="M411" i="77"/>
  <c r="K411" i="77"/>
  <c r="I411" i="77"/>
  <c r="G411" i="77"/>
  <c r="E411" i="77"/>
  <c r="C411" i="77"/>
  <c r="R410" i="77"/>
  <c r="S410" i="77" s="1"/>
  <c r="Q410" i="77"/>
  <c r="O410" i="77"/>
  <c r="M410" i="77"/>
  <c r="K410" i="77"/>
  <c r="I410" i="77"/>
  <c r="G410" i="77"/>
  <c r="E410" i="77"/>
  <c r="C410" i="77"/>
  <c r="R409" i="77"/>
  <c r="S409" i="77" s="1"/>
  <c r="Q409" i="77"/>
  <c r="O409" i="77"/>
  <c r="M409" i="77"/>
  <c r="K409" i="77"/>
  <c r="I409" i="77"/>
  <c r="G409" i="77"/>
  <c r="E409" i="77"/>
  <c r="C409" i="77"/>
  <c r="R408" i="77"/>
  <c r="S408" i="77" s="1"/>
  <c r="Q408" i="77"/>
  <c r="O408" i="77"/>
  <c r="M408" i="77"/>
  <c r="K408" i="77"/>
  <c r="I408" i="77"/>
  <c r="G408" i="77"/>
  <c r="E408" i="77"/>
  <c r="C408" i="77"/>
  <c r="R407" i="77"/>
  <c r="S407" i="77" s="1"/>
  <c r="Q407" i="77"/>
  <c r="O407" i="77"/>
  <c r="M407" i="77"/>
  <c r="K407" i="77"/>
  <c r="I407" i="77"/>
  <c r="G407" i="77"/>
  <c r="E407" i="77"/>
  <c r="C407" i="77"/>
  <c r="R406" i="77"/>
  <c r="S406" i="77" s="1"/>
  <c r="Q406" i="77"/>
  <c r="O406" i="77"/>
  <c r="M406" i="77"/>
  <c r="K406" i="77"/>
  <c r="I406" i="77"/>
  <c r="G406" i="77"/>
  <c r="E406" i="77"/>
  <c r="C406" i="77"/>
  <c r="R405" i="77"/>
  <c r="S405" i="77" s="1"/>
  <c r="Q405" i="77"/>
  <c r="O405" i="77"/>
  <c r="M405" i="77"/>
  <c r="K405" i="77"/>
  <c r="I405" i="77"/>
  <c r="G405" i="77"/>
  <c r="E405" i="77"/>
  <c r="C405" i="77"/>
  <c r="R404" i="77"/>
  <c r="S404" i="77" s="1"/>
  <c r="Q404" i="77"/>
  <c r="O404" i="77"/>
  <c r="M404" i="77"/>
  <c r="K404" i="77"/>
  <c r="I404" i="77"/>
  <c r="G404" i="77"/>
  <c r="E404" i="77"/>
  <c r="C404" i="77"/>
  <c r="R403" i="77"/>
  <c r="S403" i="77" s="1"/>
  <c r="Q403" i="77"/>
  <c r="O403" i="77"/>
  <c r="M403" i="77"/>
  <c r="K403" i="77"/>
  <c r="I403" i="77"/>
  <c r="G403" i="77"/>
  <c r="E403" i="77"/>
  <c r="C403" i="77"/>
  <c r="R402" i="77"/>
  <c r="S402" i="77" s="1"/>
  <c r="Q402" i="77"/>
  <c r="O402" i="77"/>
  <c r="M402" i="77"/>
  <c r="K402" i="77"/>
  <c r="I402" i="77"/>
  <c r="G402" i="77"/>
  <c r="E402" i="77"/>
  <c r="C402" i="77"/>
  <c r="R401" i="77"/>
  <c r="S401" i="77" s="1"/>
  <c r="Q401" i="77"/>
  <c r="O401" i="77"/>
  <c r="M401" i="77"/>
  <c r="K401" i="77"/>
  <c r="I401" i="77"/>
  <c r="G401" i="77"/>
  <c r="E401" i="77"/>
  <c r="C401" i="77"/>
  <c r="R400" i="77"/>
  <c r="S400" i="77" s="1"/>
  <c r="Q400" i="77"/>
  <c r="O400" i="77"/>
  <c r="M400" i="77"/>
  <c r="K400" i="77"/>
  <c r="I400" i="77"/>
  <c r="G400" i="77"/>
  <c r="E400" i="77"/>
  <c r="C400" i="77"/>
  <c r="R399" i="77"/>
  <c r="S399" i="77" s="1"/>
  <c r="Q399" i="77"/>
  <c r="O399" i="77"/>
  <c r="M399" i="77"/>
  <c r="K399" i="77"/>
  <c r="I399" i="77"/>
  <c r="G399" i="77"/>
  <c r="E399" i="77"/>
  <c r="C399" i="77"/>
  <c r="R398" i="77"/>
  <c r="S398" i="77" s="1"/>
  <c r="Q398" i="77"/>
  <c r="O398" i="77"/>
  <c r="M398" i="77"/>
  <c r="K398" i="77"/>
  <c r="I398" i="77"/>
  <c r="G398" i="77"/>
  <c r="E398" i="77"/>
  <c r="C398" i="77"/>
  <c r="R397" i="77"/>
  <c r="S397" i="77" s="1"/>
  <c r="Q397" i="77"/>
  <c r="O397" i="77"/>
  <c r="M397" i="77"/>
  <c r="K397" i="77"/>
  <c r="I397" i="77"/>
  <c r="G397" i="77"/>
  <c r="E397" i="77"/>
  <c r="C397" i="77"/>
  <c r="R396" i="77"/>
  <c r="S396" i="77" s="1"/>
  <c r="Q396" i="77"/>
  <c r="O396" i="77"/>
  <c r="M396" i="77"/>
  <c r="K396" i="77"/>
  <c r="I396" i="77"/>
  <c r="G396" i="77"/>
  <c r="E396" i="77"/>
  <c r="C396" i="77"/>
  <c r="R395" i="77"/>
  <c r="S395" i="77" s="1"/>
  <c r="Q395" i="77"/>
  <c r="O395" i="77"/>
  <c r="M395" i="77"/>
  <c r="K395" i="77"/>
  <c r="I395" i="77"/>
  <c r="G395" i="77"/>
  <c r="E395" i="77"/>
  <c r="C395" i="77"/>
  <c r="R394" i="77"/>
  <c r="S394" i="77" s="1"/>
  <c r="Q394" i="77"/>
  <c r="O394" i="77"/>
  <c r="M394" i="77"/>
  <c r="K394" i="77"/>
  <c r="I394" i="77"/>
  <c r="G394" i="77"/>
  <c r="E394" i="77"/>
  <c r="C394" i="77"/>
  <c r="R393" i="77"/>
  <c r="S393" i="77" s="1"/>
  <c r="Q393" i="77"/>
  <c r="O393" i="77"/>
  <c r="M393" i="77"/>
  <c r="K393" i="77"/>
  <c r="I393" i="77"/>
  <c r="G393" i="77"/>
  <c r="E393" i="77"/>
  <c r="C393" i="77"/>
  <c r="R392" i="77"/>
  <c r="S392" i="77" s="1"/>
  <c r="Q392" i="77"/>
  <c r="O392" i="77"/>
  <c r="M392" i="77"/>
  <c r="K392" i="77"/>
  <c r="I392" i="77"/>
  <c r="G392" i="77"/>
  <c r="E392" i="77"/>
  <c r="C392" i="77"/>
  <c r="R391" i="77"/>
  <c r="S391" i="77" s="1"/>
  <c r="Q391" i="77"/>
  <c r="O391" i="77"/>
  <c r="M391" i="77"/>
  <c r="K391" i="77"/>
  <c r="I391" i="77"/>
  <c r="G391" i="77"/>
  <c r="E391" i="77"/>
  <c r="C391" i="77"/>
  <c r="R390" i="77"/>
  <c r="S390" i="77" s="1"/>
  <c r="Q390" i="77"/>
  <c r="O390" i="77"/>
  <c r="M390" i="77"/>
  <c r="K390" i="77"/>
  <c r="I390" i="77"/>
  <c r="G390" i="77"/>
  <c r="E390" i="77"/>
  <c r="C390" i="77"/>
  <c r="R389" i="77"/>
  <c r="S389" i="77" s="1"/>
  <c r="Q389" i="77"/>
  <c r="O389" i="77"/>
  <c r="M389" i="77"/>
  <c r="K389" i="77"/>
  <c r="I389" i="77"/>
  <c r="G389" i="77"/>
  <c r="E389" i="77"/>
  <c r="C389" i="77"/>
  <c r="R388" i="77"/>
  <c r="S388" i="77" s="1"/>
  <c r="Q388" i="77"/>
  <c r="O388" i="77"/>
  <c r="M388" i="77"/>
  <c r="K388" i="77"/>
  <c r="I388" i="77"/>
  <c r="G388" i="77"/>
  <c r="E388" i="77"/>
  <c r="C388" i="77"/>
  <c r="R387" i="77"/>
  <c r="S387" i="77" s="1"/>
  <c r="Q387" i="77"/>
  <c r="O387" i="77"/>
  <c r="M387" i="77"/>
  <c r="K387" i="77"/>
  <c r="I387" i="77"/>
  <c r="G387" i="77"/>
  <c r="E387" i="77"/>
  <c r="C387" i="77"/>
  <c r="R386" i="77"/>
  <c r="S386" i="77" s="1"/>
  <c r="Q386" i="77"/>
  <c r="O386" i="77"/>
  <c r="M386" i="77"/>
  <c r="K386" i="77"/>
  <c r="I386" i="77"/>
  <c r="G386" i="77"/>
  <c r="E386" i="77"/>
  <c r="C386" i="77"/>
  <c r="R385" i="77"/>
  <c r="S385" i="77" s="1"/>
  <c r="Q385" i="77"/>
  <c r="O385" i="77"/>
  <c r="M385" i="77"/>
  <c r="K385" i="77"/>
  <c r="I385" i="77"/>
  <c r="G385" i="77"/>
  <c r="E385" i="77"/>
  <c r="C385" i="77"/>
  <c r="R384" i="77"/>
  <c r="S384" i="77" s="1"/>
  <c r="Q384" i="77"/>
  <c r="O384" i="77"/>
  <c r="M384" i="77"/>
  <c r="K384" i="77"/>
  <c r="I384" i="77"/>
  <c r="G384" i="77"/>
  <c r="E384" i="77"/>
  <c r="C384" i="77"/>
  <c r="R383" i="77"/>
  <c r="S383" i="77" s="1"/>
  <c r="Q383" i="77"/>
  <c r="O383" i="77"/>
  <c r="M383" i="77"/>
  <c r="K383" i="77"/>
  <c r="I383" i="77"/>
  <c r="G383" i="77"/>
  <c r="E383" i="77"/>
  <c r="C383" i="77"/>
  <c r="R382" i="77"/>
  <c r="S382" i="77" s="1"/>
  <c r="Q382" i="77"/>
  <c r="O382" i="77"/>
  <c r="M382" i="77"/>
  <c r="K382" i="77"/>
  <c r="I382" i="77"/>
  <c r="G382" i="77"/>
  <c r="E382" i="77"/>
  <c r="C382" i="77"/>
  <c r="R381" i="77"/>
  <c r="S381" i="77" s="1"/>
  <c r="Q381" i="77"/>
  <c r="O381" i="77"/>
  <c r="M381" i="77"/>
  <c r="K381" i="77"/>
  <c r="I381" i="77"/>
  <c r="G381" i="77"/>
  <c r="E381" i="77"/>
  <c r="C381" i="77"/>
  <c r="R380" i="77"/>
  <c r="S380" i="77" s="1"/>
  <c r="Q380" i="77"/>
  <c r="O380" i="77"/>
  <c r="M380" i="77"/>
  <c r="K380" i="77"/>
  <c r="I380" i="77"/>
  <c r="G380" i="77"/>
  <c r="E380" i="77"/>
  <c r="C380" i="77"/>
  <c r="R379" i="77"/>
  <c r="S379" i="77" s="1"/>
  <c r="Q379" i="77"/>
  <c r="O379" i="77"/>
  <c r="M379" i="77"/>
  <c r="K379" i="77"/>
  <c r="I379" i="77"/>
  <c r="G379" i="77"/>
  <c r="E379" i="77"/>
  <c r="C379" i="77"/>
  <c r="R378" i="77"/>
  <c r="S378" i="77" s="1"/>
  <c r="Q378" i="77"/>
  <c r="O378" i="77"/>
  <c r="M378" i="77"/>
  <c r="K378" i="77"/>
  <c r="I378" i="77"/>
  <c r="G378" i="77"/>
  <c r="E378" i="77"/>
  <c r="C378" i="77"/>
  <c r="R377" i="77"/>
  <c r="S377" i="77" s="1"/>
  <c r="Q377" i="77"/>
  <c r="O377" i="77"/>
  <c r="M377" i="77"/>
  <c r="K377" i="77"/>
  <c r="I377" i="77"/>
  <c r="G377" i="77"/>
  <c r="E377" i="77"/>
  <c r="C377" i="77"/>
  <c r="R376" i="77"/>
  <c r="S376" i="77" s="1"/>
  <c r="Q376" i="77"/>
  <c r="O376" i="77"/>
  <c r="M376" i="77"/>
  <c r="K376" i="77"/>
  <c r="I376" i="77"/>
  <c r="G376" i="77"/>
  <c r="E376" i="77"/>
  <c r="C376" i="77"/>
  <c r="R375" i="77"/>
  <c r="S375" i="77" s="1"/>
  <c r="Q375" i="77"/>
  <c r="O375" i="77"/>
  <c r="M375" i="77"/>
  <c r="K375" i="77"/>
  <c r="I375" i="77"/>
  <c r="G375" i="77"/>
  <c r="E375" i="77"/>
  <c r="C375" i="77"/>
  <c r="R374" i="77"/>
  <c r="S374" i="77" s="1"/>
  <c r="Q374" i="77"/>
  <c r="O374" i="77"/>
  <c r="M374" i="77"/>
  <c r="K374" i="77"/>
  <c r="I374" i="77"/>
  <c r="G374" i="77"/>
  <c r="E374" i="77"/>
  <c r="C374" i="77"/>
  <c r="R373" i="77"/>
  <c r="S373" i="77" s="1"/>
  <c r="Q373" i="77"/>
  <c r="O373" i="77"/>
  <c r="M373" i="77"/>
  <c r="K373" i="77"/>
  <c r="I373" i="77"/>
  <c r="G373" i="77"/>
  <c r="E373" i="77"/>
  <c r="C373" i="77"/>
  <c r="R372" i="77"/>
  <c r="S372" i="77" s="1"/>
  <c r="Q372" i="77"/>
  <c r="O372" i="77"/>
  <c r="M372" i="77"/>
  <c r="K372" i="77"/>
  <c r="I372" i="77"/>
  <c r="G372" i="77"/>
  <c r="E372" i="77"/>
  <c r="C372" i="77"/>
  <c r="R371" i="77"/>
  <c r="S371" i="77" s="1"/>
  <c r="Q371" i="77"/>
  <c r="O371" i="77"/>
  <c r="M371" i="77"/>
  <c r="K371" i="77"/>
  <c r="I371" i="77"/>
  <c r="G371" i="77"/>
  <c r="E371" i="77"/>
  <c r="C371" i="77"/>
  <c r="R370" i="77"/>
  <c r="S370" i="77" s="1"/>
  <c r="Q370" i="77"/>
  <c r="O370" i="77"/>
  <c r="M370" i="77"/>
  <c r="K370" i="77"/>
  <c r="I370" i="77"/>
  <c r="G370" i="77"/>
  <c r="E370" i="77"/>
  <c r="C370" i="77"/>
  <c r="R369" i="77"/>
  <c r="S369" i="77" s="1"/>
  <c r="Q369" i="77"/>
  <c r="O369" i="77"/>
  <c r="M369" i="77"/>
  <c r="K369" i="77"/>
  <c r="I369" i="77"/>
  <c r="G369" i="77"/>
  <c r="E369" i="77"/>
  <c r="C369" i="77"/>
  <c r="R368" i="77"/>
  <c r="S368" i="77" s="1"/>
  <c r="Q368" i="77"/>
  <c r="O368" i="77"/>
  <c r="M368" i="77"/>
  <c r="K368" i="77"/>
  <c r="I368" i="77"/>
  <c r="G368" i="77"/>
  <c r="E368" i="77"/>
  <c r="C368" i="77"/>
  <c r="R367" i="77"/>
  <c r="S367" i="77" s="1"/>
  <c r="Q367" i="77"/>
  <c r="O367" i="77"/>
  <c r="M367" i="77"/>
  <c r="K367" i="77"/>
  <c r="I367" i="77"/>
  <c r="G367" i="77"/>
  <c r="E367" i="77"/>
  <c r="C367" i="77"/>
  <c r="R366" i="77"/>
  <c r="S366" i="77" s="1"/>
  <c r="Q366" i="77"/>
  <c r="O366" i="77"/>
  <c r="M366" i="77"/>
  <c r="K366" i="77"/>
  <c r="I366" i="77"/>
  <c r="G366" i="77"/>
  <c r="E366" i="77"/>
  <c r="C366" i="77"/>
  <c r="R365" i="77"/>
  <c r="S365" i="77" s="1"/>
  <c r="Q365" i="77"/>
  <c r="O365" i="77"/>
  <c r="M365" i="77"/>
  <c r="K365" i="77"/>
  <c r="I365" i="77"/>
  <c r="G365" i="77"/>
  <c r="E365" i="77"/>
  <c r="C365" i="77"/>
  <c r="R364" i="77"/>
  <c r="S364" i="77" s="1"/>
  <c r="Q364" i="77"/>
  <c r="O364" i="77"/>
  <c r="M364" i="77"/>
  <c r="K364" i="77"/>
  <c r="I364" i="77"/>
  <c r="G364" i="77"/>
  <c r="E364" i="77"/>
  <c r="C364" i="77"/>
  <c r="R363" i="77"/>
  <c r="S363" i="77" s="1"/>
  <c r="Q363" i="77"/>
  <c r="O363" i="77"/>
  <c r="M363" i="77"/>
  <c r="K363" i="77"/>
  <c r="I363" i="77"/>
  <c r="G363" i="77"/>
  <c r="E363" i="77"/>
  <c r="C363" i="77"/>
  <c r="R362" i="77"/>
  <c r="S362" i="77" s="1"/>
  <c r="Q362" i="77"/>
  <c r="O362" i="77"/>
  <c r="M362" i="77"/>
  <c r="K362" i="77"/>
  <c r="I362" i="77"/>
  <c r="G362" i="77"/>
  <c r="E362" i="77"/>
  <c r="C362" i="77"/>
  <c r="R361" i="77"/>
  <c r="S361" i="77" s="1"/>
  <c r="Q361" i="77"/>
  <c r="O361" i="77"/>
  <c r="M361" i="77"/>
  <c r="K361" i="77"/>
  <c r="I361" i="77"/>
  <c r="G361" i="77"/>
  <c r="E361" i="77"/>
  <c r="C361" i="77"/>
  <c r="R360" i="77"/>
  <c r="S360" i="77" s="1"/>
  <c r="Q360" i="77"/>
  <c r="O360" i="77"/>
  <c r="M360" i="77"/>
  <c r="K360" i="77"/>
  <c r="I360" i="77"/>
  <c r="G360" i="77"/>
  <c r="E360" i="77"/>
  <c r="C360" i="77"/>
  <c r="R359" i="77"/>
  <c r="S359" i="77" s="1"/>
  <c r="Q359" i="77"/>
  <c r="O359" i="77"/>
  <c r="M359" i="77"/>
  <c r="K359" i="77"/>
  <c r="I359" i="77"/>
  <c r="G359" i="77"/>
  <c r="E359" i="77"/>
  <c r="C359" i="77"/>
  <c r="R358" i="77"/>
  <c r="S358" i="77" s="1"/>
  <c r="Q358" i="77"/>
  <c r="O358" i="77"/>
  <c r="M358" i="77"/>
  <c r="K358" i="77"/>
  <c r="I358" i="77"/>
  <c r="G358" i="77"/>
  <c r="E358" i="77"/>
  <c r="C358" i="77"/>
  <c r="R357" i="77"/>
  <c r="S357" i="77" s="1"/>
  <c r="Q357" i="77"/>
  <c r="O357" i="77"/>
  <c r="M357" i="77"/>
  <c r="K357" i="77"/>
  <c r="I357" i="77"/>
  <c r="G357" i="77"/>
  <c r="E357" i="77"/>
  <c r="C357" i="77"/>
  <c r="R356" i="77"/>
  <c r="S356" i="77" s="1"/>
  <c r="Q356" i="77"/>
  <c r="O356" i="77"/>
  <c r="M356" i="77"/>
  <c r="K356" i="77"/>
  <c r="I356" i="77"/>
  <c r="G356" i="77"/>
  <c r="E356" i="77"/>
  <c r="C356" i="77"/>
  <c r="R355" i="77"/>
  <c r="S355" i="77" s="1"/>
  <c r="Q355" i="77"/>
  <c r="O355" i="77"/>
  <c r="M355" i="77"/>
  <c r="K355" i="77"/>
  <c r="I355" i="77"/>
  <c r="G355" i="77"/>
  <c r="E355" i="77"/>
  <c r="C355" i="77"/>
  <c r="R354" i="77"/>
  <c r="S354" i="77" s="1"/>
  <c r="Q354" i="77"/>
  <c r="O354" i="77"/>
  <c r="M354" i="77"/>
  <c r="K354" i="77"/>
  <c r="I354" i="77"/>
  <c r="G354" i="77"/>
  <c r="E354" i="77"/>
  <c r="C354" i="77"/>
  <c r="R353" i="77"/>
  <c r="S353" i="77" s="1"/>
  <c r="Q353" i="77"/>
  <c r="O353" i="77"/>
  <c r="M353" i="77"/>
  <c r="K353" i="77"/>
  <c r="I353" i="77"/>
  <c r="G353" i="77"/>
  <c r="E353" i="77"/>
  <c r="C353" i="77"/>
  <c r="R352" i="77"/>
  <c r="S352" i="77" s="1"/>
  <c r="Q352" i="77"/>
  <c r="O352" i="77"/>
  <c r="M352" i="77"/>
  <c r="K352" i="77"/>
  <c r="I352" i="77"/>
  <c r="G352" i="77"/>
  <c r="E352" i="77"/>
  <c r="C352" i="77"/>
  <c r="R351" i="77"/>
  <c r="S351" i="77" s="1"/>
  <c r="Q351" i="77"/>
  <c r="O351" i="77"/>
  <c r="M351" i="77"/>
  <c r="K351" i="77"/>
  <c r="I351" i="77"/>
  <c r="G351" i="77"/>
  <c r="E351" i="77"/>
  <c r="C351" i="77"/>
  <c r="R350" i="77"/>
  <c r="S350" i="77" s="1"/>
  <c r="Q350" i="77"/>
  <c r="O350" i="77"/>
  <c r="M350" i="77"/>
  <c r="K350" i="77"/>
  <c r="I350" i="77"/>
  <c r="G350" i="77"/>
  <c r="E350" i="77"/>
  <c r="C350" i="77"/>
  <c r="R349" i="77"/>
  <c r="S349" i="77" s="1"/>
  <c r="Q349" i="77"/>
  <c r="O349" i="77"/>
  <c r="M349" i="77"/>
  <c r="K349" i="77"/>
  <c r="I349" i="77"/>
  <c r="G349" i="77"/>
  <c r="E349" i="77"/>
  <c r="C349" i="77"/>
  <c r="R348" i="77"/>
  <c r="S348" i="77" s="1"/>
  <c r="Q348" i="77"/>
  <c r="O348" i="77"/>
  <c r="M348" i="77"/>
  <c r="K348" i="77"/>
  <c r="I348" i="77"/>
  <c r="G348" i="77"/>
  <c r="E348" i="77"/>
  <c r="C348" i="77"/>
  <c r="R347" i="77"/>
  <c r="S347" i="77" s="1"/>
  <c r="Q347" i="77"/>
  <c r="O347" i="77"/>
  <c r="M347" i="77"/>
  <c r="K347" i="77"/>
  <c r="I347" i="77"/>
  <c r="G347" i="77"/>
  <c r="E347" i="77"/>
  <c r="C347" i="77"/>
  <c r="R346" i="77"/>
  <c r="S346" i="77" s="1"/>
  <c r="Q346" i="77"/>
  <c r="O346" i="77"/>
  <c r="M346" i="77"/>
  <c r="K346" i="77"/>
  <c r="I346" i="77"/>
  <c r="G346" i="77"/>
  <c r="E346" i="77"/>
  <c r="C346" i="77"/>
  <c r="R345" i="77"/>
  <c r="S345" i="77" s="1"/>
  <c r="Q345" i="77"/>
  <c r="O345" i="77"/>
  <c r="M345" i="77"/>
  <c r="K345" i="77"/>
  <c r="I345" i="77"/>
  <c r="G345" i="77"/>
  <c r="E345" i="77"/>
  <c r="C345" i="77"/>
  <c r="R344" i="77"/>
  <c r="S344" i="77" s="1"/>
  <c r="Q344" i="77"/>
  <c r="O344" i="77"/>
  <c r="M344" i="77"/>
  <c r="K344" i="77"/>
  <c r="I344" i="77"/>
  <c r="G344" i="77"/>
  <c r="E344" i="77"/>
  <c r="C344" i="77"/>
  <c r="R343" i="77"/>
  <c r="S343" i="77" s="1"/>
  <c r="Q343" i="77"/>
  <c r="O343" i="77"/>
  <c r="M343" i="77"/>
  <c r="K343" i="77"/>
  <c r="I343" i="77"/>
  <c r="G343" i="77"/>
  <c r="E343" i="77"/>
  <c r="C343" i="77"/>
  <c r="R342" i="77"/>
  <c r="S342" i="77" s="1"/>
  <c r="Q342" i="77"/>
  <c r="O342" i="77"/>
  <c r="M342" i="77"/>
  <c r="K342" i="77"/>
  <c r="I342" i="77"/>
  <c r="G342" i="77"/>
  <c r="E342" i="77"/>
  <c r="C342" i="77"/>
  <c r="R341" i="77"/>
  <c r="S341" i="77" s="1"/>
  <c r="Q341" i="77"/>
  <c r="O341" i="77"/>
  <c r="M341" i="77"/>
  <c r="K341" i="77"/>
  <c r="I341" i="77"/>
  <c r="G341" i="77"/>
  <c r="E341" i="77"/>
  <c r="C341" i="77"/>
  <c r="R340" i="77"/>
  <c r="S340" i="77" s="1"/>
  <c r="Q340" i="77"/>
  <c r="O340" i="77"/>
  <c r="M340" i="77"/>
  <c r="K340" i="77"/>
  <c r="I340" i="77"/>
  <c r="G340" i="77"/>
  <c r="E340" i="77"/>
  <c r="C340" i="77"/>
  <c r="R339" i="77"/>
  <c r="S339" i="77" s="1"/>
  <c r="Q339" i="77"/>
  <c r="O339" i="77"/>
  <c r="M339" i="77"/>
  <c r="K339" i="77"/>
  <c r="I339" i="77"/>
  <c r="G339" i="77"/>
  <c r="E339" i="77"/>
  <c r="C339" i="77"/>
  <c r="R338" i="77"/>
  <c r="S338" i="77" s="1"/>
  <c r="Q338" i="77"/>
  <c r="O338" i="77"/>
  <c r="M338" i="77"/>
  <c r="K338" i="77"/>
  <c r="I338" i="77"/>
  <c r="G338" i="77"/>
  <c r="E338" i="77"/>
  <c r="C338" i="77"/>
  <c r="R337" i="77"/>
  <c r="S337" i="77" s="1"/>
  <c r="Q337" i="77"/>
  <c r="O337" i="77"/>
  <c r="M337" i="77"/>
  <c r="K337" i="77"/>
  <c r="I337" i="77"/>
  <c r="G337" i="77"/>
  <c r="E337" i="77"/>
  <c r="C337" i="77"/>
  <c r="R336" i="77"/>
  <c r="S336" i="77" s="1"/>
  <c r="Q336" i="77"/>
  <c r="O336" i="77"/>
  <c r="M336" i="77"/>
  <c r="K336" i="77"/>
  <c r="I336" i="77"/>
  <c r="G336" i="77"/>
  <c r="E336" i="77"/>
  <c r="C336" i="77"/>
  <c r="R335" i="77"/>
  <c r="S335" i="77" s="1"/>
  <c r="Q335" i="77"/>
  <c r="O335" i="77"/>
  <c r="M335" i="77"/>
  <c r="K335" i="77"/>
  <c r="I335" i="77"/>
  <c r="G335" i="77"/>
  <c r="E335" i="77"/>
  <c r="C335" i="77"/>
  <c r="R334" i="77"/>
  <c r="S334" i="77" s="1"/>
  <c r="Q334" i="77"/>
  <c r="O334" i="77"/>
  <c r="M334" i="77"/>
  <c r="K334" i="77"/>
  <c r="I334" i="77"/>
  <c r="G334" i="77"/>
  <c r="E334" i="77"/>
  <c r="C334" i="77"/>
  <c r="R333" i="77"/>
  <c r="S333" i="77" s="1"/>
  <c r="Q333" i="77"/>
  <c r="O333" i="77"/>
  <c r="M333" i="77"/>
  <c r="K333" i="77"/>
  <c r="I333" i="77"/>
  <c r="G333" i="77"/>
  <c r="E333" i="77"/>
  <c r="C333" i="77"/>
  <c r="R332" i="77"/>
  <c r="S332" i="77" s="1"/>
  <c r="Q332" i="77"/>
  <c r="O332" i="77"/>
  <c r="M332" i="77"/>
  <c r="K332" i="77"/>
  <c r="I332" i="77"/>
  <c r="G332" i="77"/>
  <c r="E332" i="77"/>
  <c r="C332" i="77"/>
  <c r="R331" i="77"/>
  <c r="S331" i="77" s="1"/>
  <c r="Q331" i="77"/>
  <c r="O331" i="77"/>
  <c r="M331" i="77"/>
  <c r="K331" i="77"/>
  <c r="I331" i="77"/>
  <c r="G331" i="77"/>
  <c r="E331" i="77"/>
  <c r="C331" i="77"/>
  <c r="R330" i="77"/>
  <c r="S330" i="77" s="1"/>
  <c r="Q330" i="77"/>
  <c r="O330" i="77"/>
  <c r="M330" i="77"/>
  <c r="K330" i="77"/>
  <c r="I330" i="77"/>
  <c r="G330" i="77"/>
  <c r="E330" i="77"/>
  <c r="C330" i="77"/>
  <c r="R329" i="77"/>
  <c r="S329" i="77" s="1"/>
  <c r="Q329" i="77"/>
  <c r="O329" i="77"/>
  <c r="M329" i="77"/>
  <c r="K329" i="77"/>
  <c r="I329" i="77"/>
  <c r="G329" i="77"/>
  <c r="E329" i="77"/>
  <c r="C329" i="77"/>
  <c r="R328" i="77"/>
  <c r="S328" i="77" s="1"/>
  <c r="Q328" i="77"/>
  <c r="O328" i="77"/>
  <c r="M328" i="77"/>
  <c r="K328" i="77"/>
  <c r="I328" i="77"/>
  <c r="G328" i="77"/>
  <c r="E328" i="77"/>
  <c r="C328" i="77"/>
  <c r="R327" i="77"/>
  <c r="S327" i="77" s="1"/>
  <c r="Q327" i="77"/>
  <c r="O327" i="77"/>
  <c r="M327" i="77"/>
  <c r="K327" i="77"/>
  <c r="I327" i="77"/>
  <c r="G327" i="77"/>
  <c r="E327" i="77"/>
  <c r="C327" i="77"/>
  <c r="R326" i="77"/>
  <c r="S326" i="77" s="1"/>
  <c r="Q326" i="77"/>
  <c r="O326" i="77"/>
  <c r="M326" i="77"/>
  <c r="K326" i="77"/>
  <c r="I326" i="77"/>
  <c r="G326" i="77"/>
  <c r="E326" i="77"/>
  <c r="C326" i="77"/>
  <c r="R325" i="77"/>
  <c r="S325" i="77" s="1"/>
  <c r="Q325" i="77"/>
  <c r="O325" i="77"/>
  <c r="M325" i="77"/>
  <c r="K325" i="77"/>
  <c r="I325" i="77"/>
  <c r="G325" i="77"/>
  <c r="E325" i="77"/>
  <c r="C325" i="77"/>
  <c r="R324" i="77"/>
  <c r="S324" i="77" s="1"/>
  <c r="Q324" i="77"/>
  <c r="O324" i="77"/>
  <c r="M324" i="77"/>
  <c r="K324" i="77"/>
  <c r="I324" i="77"/>
  <c r="G324" i="77"/>
  <c r="E324" i="77"/>
  <c r="C324" i="77"/>
  <c r="R323" i="77"/>
  <c r="S323" i="77" s="1"/>
  <c r="Q323" i="77"/>
  <c r="O323" i="77"/>
  <c r="M323" i="77"/>
  <c r="K323" i="77"/>
  <c r="I323" i="77"/>
  <c r="G323" i="77"/>
  <c r="E323" i="77"/>
  <c r="C323" i="77"/>
  <c r="R322" i="77"/>
  <c r="S322" i="77" s="1"/>
  <c r="Q322" i="77"/>
  <c r="O322" i="77"/>
  <c r="M322" i="77"/>
  <c r="K322" i="77"/>
  <c r="I322" i="77"/>
  <c r="G322" i="77"/>
  <c r="E322" i="77"/>
  <c r="C322" i="77"/>
  <c r="R321" i="77"/>
  <c r="S321" i="77" s="1"/>
  <c r="Q321" i="77"/>
  <c r="O321" i="77"/>
  <c r="M321" i="77"/>
  <c r="K321" i="77"/>
  <c r="I321" i="77"/>
  <c r="G321" i="77"/>
  <c r="E321" i="77"/>
  <c r="C321" i="77"/>
  <c r="R320" i="77"/>
  <c r="S320" i="77" s="1"/>
  <c r="Q320" i="77"/>
  <c r="O320" i="77"/>
  <c r="M320" i="77"/>
  <c r="K320" i="77"/>
  <c r="I320" i="77"/>
  <c r="G320" i="77"/>
  <c r="E320" i="77"/>
  <c r="C320" i="77"/>
  <c r="R319" i="77"/>
  <c r="S319" i="77" s="1"/>
  <c r="Q319" i="77"/>
  <c r="O319" i="77"/>
  <c r="M319" i="77"/>
  <c r="K319" i="77"/>
  <c r="I319" i="77"/>
  <c r="G319" i="77"/>
  <c r="E319" i="77"/>
  <c r="C319" i="77"/>
  <c r="R318" i="77"/>
  <c r="S318" i="77" s="1"/>
  <c r="Q318" i="77"/>
  <c r="O318" i="77"/>
  <c r="M318" i="77"/>
  <c r="K318" i="77"/>
  <c r="I318" i="77"/>
  <c r="G318" i="77"/>
  <c r="E318" i="77"/>
  <c r="C318" i="77"/>
  <c r="R317" i="77"/>
  <c r="S317" i="77" s="1"/>
  <c r="Q317" i="77"/>
  <c r="O317" i="77"/>
  <c r="M317" i="77"/>
  <c r="K317" i="77"/>
  <c r="I317" i="77"/>
  <c r="G317" i="77"/>
  <c r="E317" i="77"/>
  <c r="C317" i="77"/>
  <c r="R316" i="77"/>
  <c r="S316" i="77" s="1"/>
  <c r="Q316" i="77"/>
  <c r="O316" i="77"/>
  <c r="M316" i="77"/>
  <c r="K316" i="77"/>
  <c r="I316" i="77"/>
  <c r="G316" i="77"/>
  <c r="E316" i="77"/>
  <c r="C316" i="77"/>
  <c r="R315" i="77"/>
  <c r="S315" i="77" s="1"/>
  <c r="Q315" i="77"/>
  <c r="O315" i="77"/>
  <c r="M315" i="77"/>
  <c r="K315" i="77"/>
  <c r="I315" i="77"/>
  <c r="G315" i="77"/>
  <c r="E315" i="77"/>
  <c r="C315" i="77"/>
  <c r="R314" i="77"/>
  <c r="S314" i="77" s="1"/>
  <c r="Q314" i="77"/>
  <c r="O314" i="77"/>
  <c r="M314" i="77"/>
  <c r="K314" i="77"/>
  <c r="I314" i="77"/>
  <c r="G314" i="77"/>
  <c r="E314" i="77"/>
  <c r="C314" i="77"/>
  <c r="R313" i="77"/>
  <c r="S313" i="77" s="1"/>
  <c r="Q313" i="77"/>
  <c r="O313" i="77"/>
  <c r="M313" i="77"/>
  <c r="K313" i="77"/>
  <c r="I313" i="77"/>
  <c r="G313" i="77"/>
  <c r="E313" i="77"/>
  <c r="C313" i="77"/>
  <c r="R312" i="77"/>
  <c r="S312" i="77" s="1"/>
  <c r="Q312" i="77"/>
  <c r="O312" i="77"/>
  <c r="M312" i="77"/>
  <c r="K312" i="77"/>
  <c r="I312" i="77"/>
  <c r="G312" i="77"/>
  <c r="E312" i="77"/>
  <c r="C312" i="77"/>
  <c r="R311" i="77"/>
  <c r="S311" i="77" s="1"/>
  <c r="Q311" i="77"/>
  <c r="O311" i="77"/>
  <c r="M311" i="77"/>
  <c r="K311" i="77"/>
  <c r="I311" i="77"/>
  <c r="G311" i="77"/>
  <c r="E311" i="77"/>
  <c r="C311" i="77"/>
  <c r="R310" i="77"/>
  <c r="S310" i="77" s="1"/>
  <c r="Q310" i="77"/>
  <c r="O310" i="77"/>
  <c r="M310" i="77"/>
  <c r="K310" i="77"/>
  <c r="I310" i="77"/>
  <c r="G310" i="77"/>
  <c r="E310" i="77"/>
  <c r="C310" i="77"/>
  <c r="R309" i="77"/>
  <c r="S309" i="77" s="1"/>
  <c r="Q309" i="77"/>
  <c r="O309" i="77"/>
  <c r="M309" i="77"/>
  <c r="K309" i="77"/>
  <c r="I309" i="77"/>
  <c r="G309" i="77"/>
  <c r="E309" i="77"/>
  <c r="C309" i="77"/>
  <c r="R308" i="77"/>
  <c r="S308" i="77" s="1"/>
  <c r="Q308" i="77"/>
  <c r="O308" i="77"/>
  <c r="M308" i="77"/>
  <c r="K308" i="77"/>
  <c r="I308" i="77"/>
  <c r="G308" i="77"/>
  <c r="E308" i="77"/>
  <c r="C308" i="77"/>
  <c r="R307" i="77"/>
  <c r="S307" i="77" s="1"/>
  <c r="Q307" i="77"/>
  <c r="O307" i="77"/>
  <c r="M307" i="77"/>
  <c r="K307" i="77"/>
  <c r="I307" i="77"/>
  <c r="G307" i="77"/>
  <c r="E307" i="77"/>
  <c r="C307" i="77"/>
  <c r="R306" i="77"/>
  <c r="S306" i="77" s="1"/>
  <c r="Q306" i="77"/>
  <c r="O306" i="77"/>
  <c r="M306" i="77"/>
  <c r="K306" i="77"/>
  <c r="I306" i="77"/>
  <c r="G306" i="77"/>
  <c r="E306" i="77"/>
  <c r="C306" i="77"/>
  <c r="R305" i="77"/>
  <c r="S305" i="77" s="1"/>
  <c r="Q305" i="77"/>
  <c r="O305" i="77"/>
  <c r="M305" i="77"/>
  <c r="K305" i="77"/>
  <c r="I305" i="77"/>
  <c r="G305" i="77"/>
  <c r="E305" i="77"/>
  <c r="C305" i="77"/>
  <c r="R304" i="77"/>
  <c r="S304" i="77" s="1"/>
  <c r="Q304" i="77"/>
  <c r="O304" i="77"/>
  <c r="M304" i="77"/>
  <c r="K304" i="77"/>
  <c r="I304" i="77"/>
  <c r="G304" i="77"/>
  <c r="E304" i="77"/>
  <c r="C304" i="77"/>
  <c r="R303" i="77"/>
  <c r="S303" i="77" s="1"/>
  <c r="Q303" i="77"/>
  <c r="O303" i="77"/>
  <c r="M303" i="77"/>
  <c r="K303" i="77"/>
  <c r="I303" i="77"/>
  <c r="G303" i="77"/>
  <c r="E303" i="77"/>
  <c r="C303" i="77"/>
  <c r="R302" i="77"/>
  <c r="S302" i="77" s="1"/>
  <c r="Q302" i="77"/>
  <c r="O302" i="77"/>
  <c r="M302" i="77"/>
  <c r="K302" i="77"/>
  <c r="I302" i="77"/>
  <c r="G302" i="77"/>
  <c r="E302" i="77"/>
  <c r="C302" i="77"/>
  <c r="R301" i="77"/>
  <c r="S301" i="77" s="1"/>
  <c r="Q301" i="77"/>
  <c r="O301" i="77"/>
  <c r="M301" i="77"/>
  <c r="K301" i="77"/>
  <c r="I301" i="77"/>
  <c r="G301" i="77"/>
  <c r="E301" i="77"/>
  <c r="C301" i="77"/>
  <c r="R300" i="77"/>
  <c r="S300" i="77" s="1"/>
  <c r="Q300" i="77"/>
  <c r="O300" i="77"/>
  <c r="M300" i="77"/>
  <c r="K300" i="77"/>
  <c r="I300" i="77"/>
  <c r="G300" i="77"/>
  <c r="E300" i="77"/>
  <c r="C300" i="77"/>
  <c r="R299" i="77"/>
  <c r="S299" i="77" s="1"/>
  <c r="Q299" i="77"/>
  <c r="O299" i="77"/>
  <c r="M299" i="77"/>
  <c r="K299" i="77"/>
  <c r="I299" i="77"/>
  <c r="G299" i="77"/>
  <c r="E299" i="77"/>
  <c r="C299" i="77"/>
  <c r="R298" i="77"/>
  <c r="S298" i="77" s="1"/>
  <c r="Q298" i="77"/>
  <c r="O298" i="77"/>
  <c r="M298" i="77"/>
  <c r="K298" i="77"/>
  <c r="I298" i="77"/>
  <c r="G298" i="77"/>
  <c r="E298" i="77"/>
  <c r="C298" i="77"/>
  <c r="R297" i="77"/>
  <c r="S297" i="77" s="1"/>
  <c r="Q297" i="77"/>
  <c r="O297" i="77"/>
  <c r="M297" i="77"/>
  <c r="K297" i="77"/>
  <c r="I297" i="77"/>
  <c r="G297" i="77"/>
  <c r="E297" i="77"/>
  <c r="C297" i="77"/>
  <c r="R296" i="77"/>
  <c r="S296" i="77" s="1"/>
  <c r="Q296" i="77"/>
  <c r="O296" i="77"/>
  <c r="M296" i="77"/>
  <c r="K296" i="77"/>
  <c r="I296" i="77"/>
  <c r="G296" i="77"/>
  <c r="E296" i="77"/>
  <c r="C296" i="77"/>
  <c r="R295" i="77"/>
  <c r="S295" i="77" s="1"/>
  <c r="Q295" i="77"/>
  <c r="O295" i="77"/>
  <c r="M295" i="77"/>
  <c r="K295" i="77"/>
  <c r="I295" i="77"/>
  <c r="G295" i="77"/>
  <c r="E295" i="77"/>
  <c r="C295" i="77"/>
  <c r="R294" i="77"/>
  <c r="S294" i="77" s="1"/>
  <c r="Q294" i="77"/>
  <c r="O294" i="77"/>
  <c r="M294" i="77"/>
  <c r="K294" i="77"/>
  <c r="I294" i="77"/>
  <c r="G294" i="77"/>
  <c r="E294" i="77"/>
  <c r="C294" i="77"/>
  <c r="R293" i="77"/>
  <c r="S293" i="77" s="1"/>
  <c r="Q293" i="77"/>
  <c r="O293" i="77"/>
  <c r="M293" i="77"/>
  <c r="K293" i="77"/>
  <c r="I293" i="77"/>
  <c r="G293" i="77"/>
  <c r="E293" i="77"/>
  <c r="C293" i="77"/>
  <c r="R292" i="77"/>
  <c r="S292" i="77" s="1"/>
  <c r="Q292" i="77"/>
  <c r="O292" i="77"/>
  <c r="M292" i="77"/>
  <c r="K292" i="77"/>
  <c r="I292" i="77"/>
  <c r="G292" i="77"/>
  <c r="E292" i="77"/>
  <c r="C292" i="77"/>
  <c r="R291" i="77"/>
  <c r="S291" i="77" s="1"/>
  <c r="Q291" i="77"/>
  <c r="O291" i="77"/>
  <c r="M291" i="77"/>
  <c r="K291" i="77"/>
  <c r="I291" i="77"/>
  <c r="G291" i="77"/>
  <c r="E291" i="77"/>
  <c r="C291" i="77"/>
  <c r="R290" i="77"/>
  <c r="S290" i="77" s="1"/>
  <c r="Q290" i="77"/>
  <c r="O290" i="77"/>
  <c r="M290" i="77"/>
  <c r="K290" i="77"/>
  <c r="I290" i="77"/>
  <c r="G290" i="77"/>
  <c r="E290" i="77"/>
  <c r="C290" i="77"/>
  <c r="R289" i="77"/>
  <c r="S289" i="77" s="1"/>
  <c r="Q289" i="77"/>
  <c r="O289" i="77"/>
  <c r="M289" i="77"/>
  <c r="K289" i="77"/>
  <c r="I289" i="77"/>
  <c r="G289" i="77"/>
  <c r="E289" i="77"/>
  <c r="C289" i="77"/>
  <c r="R288" i="77"/>
  <c r="S288" i="77" s="1"/>
  <c r="Q288" i="77"/>
  <c r="O288" i="77"/>
  <c r="M288" i="77"/>
  <c r="K288" i="77"/>
  <c r="I288" i="77"/>
  <c r="G288" i="77"/>
  <c r="E288" i="77"/>
  <c r="C288" i="77"/>
  <c r="R287" i="77"/>
  <c r="S287" i="77" s="1"/>
  <c r="Q287" i="77"/>
  <c r="O287" i="77"/>
  <c r="M287" i="77"/>
  <c r="K287" i="77"/>
  <c r="I287" i="77"/>
  <c r="G287" i="77"/>
  <c r="E287" i="77"/>
  <c r="C287" i="77"/>
  <c r="R286" i="77"/>
  <c r="S286" i="77" s="1"/>
  <c r="Q286" i="77"/>
  <c r="O286" i="77"/>
  <c r="M286" i="77"/>
  <c r="K286" i="77"/>
  <c r="I286" i="77"/>
  <c r="G286" i="77"/>
  <c r="E286" i="77"/>
  <c r="C286" i="77"/>
  <c r="R285" i="77"/>
  <c r="S285" i="77" s="1"/>
  <c r="Q285" i="77"/>
  <c r="O285" i="77"/>
  <c r="M285" i="77"/>
  <c r="K285" i="77"/>
  <c r="I285" i="77"/>
  <c r="G285" i="77"/>
  <c r="E285" i="77"/>
  <c r="C285" i="77"/>
  <c r="R284" i="77"/>
  <c r="S284" i="77" s="1"/>
  <c r="Q284" i="77"/>
  <c r="O284" i="77"/>
  <c r="M284" i="77"/>
  <c r="K284" i="77"/>
  <c r="I284" i="77"/>
  <c r="G284" i="77"/>
  <c r="E284" i="77"/>
  <c r="C284" i="77"/>
  <c r="R283" i="77"/>
  <c r="S283" i="77" s="1"/>
  <c r="Q283" i="77"/>
  <c r="O283" i="77"/>
  <c r="M283" i="77"/>
  <c r="K283" i="77"/>
  <c r="I283" i="77"/>
  <c r="G283" i="77"/>
  <c r="E283" i="77"/>
  <c r="C283" i="77"/>
  <c r="R282" i="77"/>
  <c r="S282" i="77" s="1"/>
  <c r="Q282" i="77"/>
  <c r="O282" i="77"/>
  <c r="M282" i="77"/>
  <c r="K282" i="77"/>
  <c r="I282" i="77"/>
  <c r="G282" i="77"/>
  <c r="E282" i="77"/>
  <c r="C282" i="77"/>
  <c r="R281" i="77"/>
  <c r="S281" i="77" s="1"/>
  <c r="Q281" i="77"/>
  <c r="O281" i="77"/>
  <c r="M281" i="77"/>
  <c r="K281" i="77"/>
  <c r="I281" i="77"/>
  <c r="G281" i="77"/>
  <c r="E281" i="77"/>
  <c r="C281" i="77"/>
  <c r="R280" i="77"/>
  <c r="S280" i="77" s="1"/>
  <c r="Q280" i="77"/>
  <c r="O280" i="77"/>
  <c r="M280" i="77"/>
  <c r="K280" i="77"/>
  <c r="I280" i="77"/>
  <c r="G280" i="77"/>
  <c r="E280" i="77"/>
  <c r="C280" i="77"/>
  <c r="R279" i="77"/>
  <c r="S279" i="77" s="1"/>
  <c r="Q279" i="77"/>
  <c r="O279" i="77"/>
  <c r="M279" i="77"/>
  <c r="K279" i="77"/>
  <c r="I279" i="77"/>
  <c r="G279" i="77"/>
  <c r="E279" i="77"/>
  <c r="C279" i="77"/>
  <c r="R278" i="77"/>
  <c r="S278" i="77" s="1"/>
  <c r="Q278" i="77"/>
  <c r="O278" i="77"/>
  <c r="M278" i="77"/>
  <c r="K278" i="77"/>
  <c r="I278" i="77"/>
  <c r="G278" i="77"/>
  <c r="E278" i="77"/>
  <c r="C278" i="77"/>
  <c r="R277" i="77"/>
  <c r="S277" i="77" s="1"/>
  <c r="Q277" i="77"/>
  <c r="O277" i="77"/>
  <c r="M277" i="77"/>
  <c r="K277" i="77"/>
  <c r="I277" i="77"/>
  <c r="G277" i="77"/>
  <c r="E277" i="77"/>
  <c r="C277" i="77"/>
  <c r="R276" i="77"/>
  <c r="S276" i="77" s="1"/>
  <c r="Q276" i="77"/>
  <c r="O276" i="77"/>
  <c r="M276" i="77"/>
  <c r="K276" i="77"/>
  <c r="I276" i="77"/>
  <c r="G276" i="77"/>
  <c r="E276" i="77"/>
  <c r="C276" i="77"/>
  <c r="R275" i="77"/>
  <c r="S275" i="77" s="1"/>
  <c r="Q275" i="77"/>
  <c r="O275" i="77"/>
  <c r="M275" i="77"/>
  <c r="K275" i="77"/>
  <c r="I275" i="77"/>
  <c r="G275" i="77"/>
  <c r="E275" i="77"/>
  <c r="C275" i="77"/>
  <c r="R274" i="77"/>
  <c r="S274" i="77" s="1"/>
  <c r="Q274" i="77"/>
  <c r="O274" i="77"/>
  <c r="M274" i="77"/>
  <c r="K274" i="77"/>
  <c r="I274" i="77"/>
  <c r="G274" i="77"/>
  <c r="E274" i="77"/>
  <c r="C274" i="77"/>
  <c r="R273" i="77"/>
  <c r="S273" i="77" s="1"/>
  <c r="Q273" i="77"/>
  <c r="O273" i="77"/>
  <c r="M273" i="77"/>
  <c r="K273" i="77"/>
  <c r="I273" i="77"/>
  <c r="G273" i="77"/>
  <c r="E273" i="77"/>
  <c r="C273" i="77"/>
  <c r="R272" i="77"/>
  <c r="S272" i="77" s="1"/>
  <c r="Q272" i="77"/>
  <c r="O272" i="77"/>
  <c r="M272" i="77"/>
  <c r="K272" i="77"/>
  <c r="I272" i="77"/>
  <c r="G272" i="77"/>
  <c r="E272" i="77"/>
  <c r="C272" i="77"/>
  <c r="R271" i="77"/>
  <c r="S271" i="77" s="1"/>
  <c r="Q271" i="77"/>
  <c r="O271" i="77"/>
  <c r="M271" i="77"/>
  <c r="K271" i="77"/>
  <c r="I271" i="77"/>
  <c r="G271" i="77"/>
  <c r="E271" i="77"/>
  <c r="C271" i="77"/>
  <c r="R270" i="77"/>
  <c r="S270" i="77" s="1"/>
  <c r="Q270" i="77"/>
  <c r="O270" i="77"/>
  <c r="M270" i="77"/>
  <c r="K270" i="77"/>
  <c r="I270" i="77"/>
  <c r="G270" i="77"/>
  <c r="E270" i="77"/>
  <c r="C270" i="77"/>
  <c r="R269" i="77"/>
  <c r="S269" i="77" s="1"/>
  <c r="Q269" i="77"/>
  <c r="O269" i="77"/>
  <c r="M269" i="77"/>
  <c r="K269" i="77"/>
  <c r="I269" i="77"/>
  <c r="G269" i="77"/>
  <c r="E269" i="77"/>
  <c r="C269" i="77"/>
  <c r="R268" i="77"/>
  <c r="S268" i="77" s="1"/>
  <c r="Q268" i="77"/>
  <c r="O268" i="77"/>
  <c r="M268" i="77"/>
  <c r="K268" i="77"/>
  <c r="I268" i="77"/>
  <c r="G268" i="77"/>
  <c r="E268" i="77"/>
  <c r="C268" i="77"/>
  <c r="R267" i="77"/>
  <c r="S267" i="77" s="1"/>
  <c r="Q267" i="77"/>
  <c r="O267" i="77"/>
  <c r="M267" i="77"/>
  <c r="K267" i="77"/>
  <c r="I267" i="77"/>
  <c r="G267" i="77"/>
  <c r="E267" i="77"/>
  <c r="C267" i="77"/>
  <c r="R266" i="77"/>
  <c r="S266" i="77" s="1"/>
  <c r="Q266" i="77"/>
  <c r="O266" i="77"/>
  <c r="M266" i="77"/>
  <c r="K266" i="77"/>
  <c r="I266" i="77"/>
  <c r="G266" i="77"/>
  <c r="E266" i="77"/>
  <c r="C266" i="77"/>
  <c r="R265" i="77"/>
  <c r="S265" i="77" s="1"/>
  <c r="Q265" i="77"/>
  <c r="O265" i="77"/>
  <c r="M265" i="77"/>
  <c r="K265" i="77"/>
  <c r="I265" i="77"/>
  <c r="G265" i="77"/>
  <c r="E265" i="77"/>
  <c r="C265" i="77"/>
  <c r="R264" i="77"/>
  <c r="S264" i="77" s="1"/>
  <c r="Q264" i="77"/>
  <c r="O264" i="77"/>
  <c r="M264" i="77"/>
  <c r="K264" i="77"/>
  <c r="I264" i="77"/>
  <c r="G264" i="77"/>
  <c r="E264" i="77"/>
  <c r="C264" i="77"/>
  <c r="R263" i="77"/>
  <c r="S263" i="77" s="1"/>
  <c r="Q263" i="77"/>
  <c r="O263" i="77"/>
  <c r="M263" i="77"/>
  <c r="K263" i="77"/>
  <c r="I263" i="77"/>
  <c r="G263" i="77"/>
  <c r="E263" i="77"/>
  <c r="C263" i="77"/>
  <c r="R262" i="77"/>
  <c r="S262" i="77" s="1"/>
  <c r="Q262" i="77"/>
  <c r="O262" i="77"/>
  <c r="M262" i="77"/>
  <c r="K262" i="77"/>
  <c r="I262" i="77"/>
  <c r="G262" i="77"/>
  <c r="E262" i="77"/>
  <c r="C262" i="77"/>
  <c r="R261" i="77"/>
  <c r="S261" i="77" s="1"/>
  <c r="Q261" i="77"/>
  <c r="O261" i="77"/>
  <c r="M261" i="77"/>
  <c r="K261" i="77"/>
  <c r="I261" i="77"/>
  <c r="G261" i="77"/>
  <c r="E261" i="77"/>
  <c r="C261" i="77"/>
  <c r="R260" i="77"/>
  <c r="S260" i="77" s="1"/>
  <c r="Q260" i="77"/>
  <c r="O260" i="77"/>
  <c r="M260" i="77"/>
  <c r="K260" i="77"/>
  <c r="I260" i="77"/>
  <c r="G260" i="77"/>
  <c r="E260" i="77"/>
  <c r="C260" i="77"/>
  <c r="R259" i="77"/>
  <c r="S259" i="77" s="1"/>
  <c r="Q259" i="77"/>
  <c r="O259" i="77"/>
  <c r="M259" i="77"/>
  <c r="K259" i="77"/>
  <c r="I259" i="77"/>
  <c r="G259" i="77"/>
  <c r="E259" i="77"/>
  <c r="C259" i="77"/>
  <c r="R258" i="77"/>
  <c r="S258" i="77" s="1"/>
  <c r="Q258" i="77"/>
  <c r="O258" i="77"/>
  <c r="M258" i="77"/>
  <c r="K258" i="77"/>
  <c r="I258" i="77"/>
  <c r="G258" i="77"/>
  <c r="E258" i="77"/>
  <c r="C258" i="77"/>
  <c r="R257" i="77"/>
  <c r="S257" i="77" s="1"/>
  <c r="Q257" i="77"/>
  <c r="O257" i="77"/>
  <c r="M257" i="77"/>
  <c r="K257" i="77"/>
  <c r="I257" i="77"/>
  <c r="G257" i="77"/>
  <c r="E257" i="77"/>
  <c r="C257" i="77"/>
  <c r="R256" i="77"/>
  <c r="S256" i="77" s="1"/>
  <c r="Q256" i="77"/>
  <c r="O256" i="77"/>
  <c r="M256" i="77"/>
  <c r="K256" i="77"/>
  <c r="I256" i="77"/>
  <c r="G256" i="77"/>
  <c r="E256" i="77"/>
  <c r="C256" i="77"/>
  <c r="R255" i="77"/>
  <c r="S255" i="77" s="1"/>
  <c r="Q255" i="77"/>
  <c r="O255" i="77"/>
  <c r="M255" i="77"/>
  <c r="K255" i="77"/>
  <c r="I255" i="77"/>
  <c r="G255" i="77"/>
  <c r="E255" i="77"/>
  <c r="C255" i="77"/>
  <c r="R254" i="77"/>
  <c r="S254" i="77" s="1"/>
  <c r="Q254" i="77"/>
  <c r="O254" i="77"/>
  <c r="M254" i="77"/>
  <c r="K254" i="77"/>
  <c r="I254" i="77"/>
  <c r="G254" i="77"/>
  <c r="E254" i="77"/>
  <c r="C254" i="77"/>
  <c r="R253" i="77"/>
  <c r="S253" i="77" s="1"/>
  <c r="Q253" i="77"/>
  <c r="O253" i="77"/>
  <c r="M253" i="77"/>
  <c r="K253" i="77"/>
  <c r="I253" i="77"/>
  <c r="G253" i="77"/>
  <c r="E253" i="77"/>
  <c r="C253" i="77"/>
  <c r="R252" i="77"/>
  <c r="S252" i="77" s="1"/>
  <c r="Q252" i="77"/>
  <c r="O252" i="77"/>
  <c r="M252" i="77"/>
  <c r="K252" i="77"/>
  <c r="I252" i="77"/>
  <c r="G252" i="77"/>
  <c r="E252" i="77"/>
  <c r="C252" i="77"/>
  <c r="R251" i="77"/>
  <c r="S251" i="77" s="1"/>
  <c r="Q251" i="77"/>
  <c r="O251" i="77"/>
  <c r="M251" i="77"/>
  <c r="K251" i="77"/>
  <c r="I251" i="77"/>
  <c r="G251" i="77"/>
  <c r="E251" i="77"/>
  <c r="C251" i="77"/>
  <c r="R250" i="77"/>
  <c r="S250" i="77" s="1"/>
  <c r="Q250" i="77"/>
  <c r="O250" i="77"/>
  <c r="M250" i="77"/>
  <c r="K250" i="77"/>
  <c r="I250" i="77"/>
  <c r="G250" i="77"/>
  <c r="E250" i="77"/>
  <c r="C250" i="77"/>
  <c r="R249" i="77"/>
  <c r="S249" i="77" s="1"/>
  <c r="Q249" i="77"/>
  <c r="O249" i="77"/>
  <c r="M249" i="77"/>
  <c r="K249" i="77"/>
  <c r="I249" i="77"/>
  <c r="G249" i="77"/>
  <c r="E249" i="77"/>
  <c r="C249" i="77"/>
  <c r="R248" i="77"/>
  <c r="S248" i="77" s="1"/>
  <c r="Q248" i="77"/>
  <c r="O248" i="77"/>
  <c r="M248" i="77"/>
  <c r="K248" i="77"/>
  <c r="I248" i="77"/>
  <c r="G248" i="77"/>
  <c r="E248" i="77"/>
  <c r="C248" i="77"/>
  <c r="R247" i="77"/>
  <c r="S247" i="77" s="1"/>
  <c r="Q247" i="77"/>
  <c r="O247" i="77"/>
  <c r="M247" i="77"/>
  <c r="K247" i="77"/>
  <c r="I247" i="77"/>
  <c r="G247" i="77"/>
  <c r="E247" i="77"/>
  <c r="C247" i="77"/>
  <c r="R246" i="77"/>
  <c r="S246" i="77" s="1"/>
  <c r="Q246" i="77"/>
  <c r="O246" i="77"/>
  <c r="M246" i="77"/>
  <c r="K246" i="77"/>
  <c r="I246" i="77"/>
  <c r="G246" i="77"/>
  <c r="E246" i="77"/>
  <c r="C246" i="77"/>
  <c r="R245" i="77"/>
  <c r="S245" i="77" s="1"/>
  <c r="Q245" i="77"/>
  <c r="O245" i="77"/>
  <c r="M245" i="77"/>
  <c r="K245" i="77"/>
  <c r="I245" i="77"/>
  <c r="G245" i="77"/>
  <c r="E245" i="77"/>
  <c r="C245" i="77"/>
  <c r="R244" i="77"/>
  <c r="S244" i="77" s="1"/>
  <c r="Q244" i="77"/>
  <c r="O244" i="77"/>
  <c r="M244" i="77"/>
  <c r="K244" i="77"/>
  <c r="I244" i="77"/>
  <c r="G244" i="77"/>
  <c r="E244" i="77"/>
  <c r="C244" i="77"/>
  <c r="R243" i="77"/>
  <c r="S243" i="77" s="1"/>
  <c r="Q243" i="77"/>
  <c r="O243" i="77"/>
  <c r="M243" i="77"/>
  <c r="K243" i="77"/>
  <c r="I243" i="77"/>
  <c r="G243" i="77"/>
  <c r="E243" i="77"/>
  <c r="C243" i="77"/>
  <c r="R242" i="77"/>
  <c r="S242" i="77" s="1"/>
  <c r="Q242" i="77"/>
  <c r="O242" i="77"/>
  <c r="M242" i="77"/>
  <c r="K242" i="77"/>
  <c r="I242" i="77"/>
  <c r="G242" i="77"/>
  <c r="E242" i="77"/>
  <c r="C242" i="77"/>
  <c r="R241" i="77"/>
  <c r="S241" i="77" s="1"/>
  <c r="Q241" i="77"/>
  <c r="O241" i="77"/>
  <c r="M241" i="77"/>
  <c r="K241" i="77"/>
  <c r="I241" i="77"/>
  <c r="G241" i="77"/>
  <c r="E241" i="77"/>
  <c r="C241" i="77"/>
  <c r="R240" i="77"/>
  <c r="S240" i="77" s="1"/>
  <c r="Q240" i="77"/>
  <c r="O240" i="77"/>
  <c r="M240" i="77"/>
  <c r="K240" i="77"/>
  <c r="I240" i="77"/>
  <c r="G240" i="77"/>
  <c r="E240" i="77"/>
  <c r="C240" i="77"/>
  <c r="R239" i="77"/>
  <c r="S239" i="77" s="1"/>
  <c r="Q239" i="77"/>
  <c r="O239" i="77"/>
  <c r="M239" i="77"/>
  <c r="K239" i="77"/>
  <c r="I239" i="77"/>
  <c r="G239" i="77"/>
  <c r="E239" i="77"/>
  <c r="C239" i="77"/>
  <c r="R238" i="77"/>
  <c r="S238" i="77" s="1"/>
  <c r="Q238" i="77"/>
  <c r="O238" i="77"/>
  <c r="M238" i="77"/>
  <c r="K238" i="77"/>
  <c r="I238" i="77"/>
  <c r="G238" i="77"/>
  <c r="E238" i="77"/>
  <c r="C238" i="77"/>
  <c r="R237" i="77"/>
  <c r="S237" i="77" s="1"/>
  <c r="Q237" i="77"/>
  <c r="O237" i="77"/>
  <c r="M237" i="77"/>
  <c r="K237" i="77"/>
  <c r="I237" i="77"/>
  <c r="G237" i="77"/>
  <c r="E237" i="77"/>
  <c r="C237" i="77"/>
  <c r="R236" i="77"/>
  <c r="S236" i="77" s="1"/>
  <c r="Q236" i="77"/>
  <c r="O236" i="77"/>
  <c r="M236" i="77"/>
  <c r="K236" i="77"/>
  <c r="I236" i="77"/>
  <c r="G236" i="77"/>
  <c r="E236" i="77"/>
  <c r="C236" i="77"/>
  <c r="R235" i="77"/>
  <c r="S235" i="77" s="1"/>
  <c r="Q235" i="77"/>
  <c r="O235" i="77"/>
  <c r="M235" i="77"/>
  <c r="K235" i="77"/>
  <c r="I235" i="77"/>
  <c r="G235" i="77"/>
  <c r="E235" i="77"/>
  <c r="C235" i="77"/>
  <c r="R234" i="77"/>
  <c r="S234" i="77" s="1"/>
  <c r="Q234" i="77"/>
  <c r="O234" i="77"/>
  <c r="M234" i="77"/>
  <c r="K234" i="77"/>
  <c r="I234" i="77"/>
  <c r="G234" i="77"/>
  <c r="E234" i="77"/>
  <c r="C234" i="77"/>
  <c r="R233" i="77"/>
  <c r="S233" i="77" s="1"/>
  <c r="Q233" i="77"/>
  <c r="O233" i="77"/>
  <c r="M233" i="77"/>
  <c r="K233" i="77"/>
  <c r="I233" i="77"/>
  <c r="G233" i="77"/>
  <c r="E233" i="77"/>
  <c r="C233" i="77"/>
  <c r="R232" i="77"/>
  <c r="S232" i="77" s="1"/>
  <c r="Q232" i="77"/>
  <c r="O232" i="77"/>
  <c r="M232" i="77"/>
  <c r="K232" i="77"/>
  <c r="I232" i="77"/>
  <c r="G232" i="77"/>
  <c r="E232" i="77"/>
  <c r="C232" i="77"/>
  <c r="R231" i="77"/>
  <c r="S231" i="77" s="1"/>
  <c r="Q231" i="77"/>
  <c r="O231" i="77"/>
  <c r="M231" i="77"/>
  <c r="K231" i="77"/>
  <c r="I231" i="77"/>
  <c r="G231" i="77"/>
  <c r="E231" i="77"/>
  <c r="C231" i="77"/>
  <c r="R230" i="77"/>
  <c r="S230" i="77" s="1"/>
  <c r="Q230" i="77"/>
  <c r="O230" i="77"/>
  <c r="M230" i="77"/>
  <c r="K230" i="77"/>
  <c r="I230" i="77"/>
  <c r="G230" i="77"/>
  <c r="E230" i="77"/>
  <c r="C230" i="77"/>
  <c r="R229" i="77"/>
  <c r="S229" i="77" s="1"/>
  <c r="Q229" i="77"/>
  <c r="O229" i="77"/>
  <c r="M229" i="77"/>
  <c r="K229" i="77"/>
  <c r="I229" i="77"/>
  <c r="G229" i="77"/>
  <c r="E229" i="77"/>
  <c r="C229" i="77"/>
  <c r="R228" i="77"/>
  <c r="S228" i="77" s="1"/>
  <c r="Q228" i="77"/>
  <c r="O228" i="77"/>
  <c r="M228" i="77"/>
  <c r="K228" i="77"/>
  <c r="I228" i="77"/>
  <c r="G228" i="77"/>
  <c r="E228" i="77"/>
  <c r="C228" i="77"/>
  <c r="R227" i="77"/>
  <c r="S227" i="77" s="1"/>
  <c r="Q227" i="77"/>
  <c r="O227" i="77"/>
  <c r="M227" i="77"/>
  <c r="K227" i="77"/>
  <c r="I227" i="77"/>
  <c r="G227" i="77"/>
  <c r="E227" i="77"/>
  <c r="C227" i="77"/>
  <c r="R226" i="77"/>
  <c r="S226" i="77" s="1"/>
  <c r="Q226" i="77"/>
  <c r="O226" i="77"/>
  <c r="M226" i="77"/>
  <c r="K226" i="77"/>
  <c r="I226" i="77"/>
  <c r="G226" i="77"/>
  <c r="E226" i="77"/>
  <c r="C226" i="77"/>
  <c r="R225" i="77"/>
  <c r="S225" i="77" s="1"/>
  <c r="Q225" i="77"/>
  <c r="O225" i="77"/>
  <c r="M225" i="77"/>
  <c r="K225" i="77"/>
  <c r="I225" i="77"/>
  <c r="G225" i="77"/>
  <c r="E225" i="77"/>
  <c r="C225" i="77"/>
  <c r="R224" i="77"/>
  <c r="S224" i="77" s="1"/>
  <c r="Q224" i="77"/>
  <c r="O224" i="77"/>
  <c r="M224" i="77"/>
  <c r="K224" i="77"/>
  <c r="I224" i="77"/>
  <c r="G224" i="77"/>
  <c r="E224" i="77"/>
  <c r="C224" i="77"/>
  <c r="R223" i="77"/>
  <c r="S223" i="77" s="1"/>
  <c r="Q223" i="77"/>
  <c r="O223" i="77"/>
  <c r="M223" i="77"/>
  <c r="K223" i="77"/>
  <c r="I223" i="77"/>
  <c r="G223" i="77"/>
  <c r="E223" i="77"/>
  <c r="C223" i="77"/>
  <c r="R222" i="77"/>
  <c r="S222" i="77" s="1"/>
  <c r="Q222" i="77"/>
  <c r="O222" i="77"/>
  <c r="M222" i="77"/>
  <c r="K222" i="77"/>
  <c r="I222" i="77"/>
  <c r="G222" i="77"/>
  <c r="E222" i="77"/>
  <c r="C222" i="77"/>
  <c r="R221" i="77"/>
  <c r="S221" i="77" s="1"/>
  <c r="Q221" i="77"/>
  <c r="O221" i="77"/>
  <c r="M221" i="77"/>
  <c r="K221" i="77"/>
  <c r="I221" i="77"/>
  <c r="G221" i="77"/>
  <c r="E221" i="77"/>
  <c r="C221" i="77"/>
  <c r="R220" i="77"/>
  <c r="S220" i="77" s="1"/>
  <c r="Q220" i="77"/>
  <c r="O220" i="77"/>
  <c r="M220" i="77"/>
  <c r="K220" i="77"/>
  <c r="I220" i="77"/>
  <c r="G220" i="77"/>
  <c r="E220" i="77"/>
  <c r="C220" i="77"/>
  <c r="R219" i="77"/>
  <c r="S219" i="77" s="1"/>
  <c r="Q219" i="77"/>
  <c r="O219" i="77"/>
  <c r="M219" i="77"/>
  <c r="K219" i="77"/>
  <c r="I219" i="77"/>
  <c r="G219" i="77"/>
  <c r="E219" i="77"/>
  <c r="C219" i="77"/>
  <c r="R218" i="77"/>
  <c r="S218" i="77" s="1"/>
  <c r="Q218" i="77"/>
  <c r="O218" i="77"/>
  <c r="M218" i="77"/>
  <c r="K218" i="77"/>
  <c r="I218" i="77"/>
  <c r="G218" i="77"/>
  <c r="E218" i="77"/>
  <c r="C218" i="77"/>
  <c r="R217" i="77"/>
  <c r="S217" i="77" s="1"/>
  <c r="Q217" i="77"/>
  <c r="O217" i="77"/>
  <c r="M217" i="77"/>
  <c r="K217" i="77"/>
  <c r="I217" i="77"/>
  <c r="G217" i="77"/>
  <c r="E217" i="77"/>
  <c r="C217" i="77"/>
  <c r="R216" i="77"/>
  <c r="S216" i="77" s="1"/>
  <c r="Q216" i="77"/>
  <c r="O216" i="77"/>
  <c r="M216" i="77"/>
  <c r="K216" i="77"/>
  <c r="I216" i="77"/>
  <c r="G216" i="77"/>
  <c r="E216" i="77"/>
  <c r="C216" i="77"/>
  <c r="R215" i="77"/>
  <c r="S215" i="77" s="1"/>
  <c r="Q215" i="77"/>
  <c r="O215" i="77"/>
  <c r="M215" i="77"/>
  <c r="K215" i="77"/>
  <c r="I215" i="77"/>
  <c r="G215" i="77"/>
  <c r="E215" i="77"/>
  <c r="C215" i="77"/>
  <c r="R214" i="77"/>
  <c r="S214" i="77" s="1"/>
  <c r="Q214" i="77"/>
  <c r="O214" i="77"/>
  <c r="M214" i="77"/>
  <c r="K214" i="77"/>
  <c r="I214" i="77"/>
  <c r="G214" i="77"/>
  <c r="E214" i="77"/>
  <c r="C214" i="77"/>
  <c r="R213" i="77"/>
  <c r="S213" i="77" s="1"/>
  <c r="Q213" i="77"/>
  <c r="O213" i="77"/>
  <c r="M213" i="77"/>
  <c r="K213" i="77"/>
  <c r="I213" i="77"/>
  <c r="G213" i="77"/>
  <c r="E213" i="77"/>
  <c r="C213" i="77"/>
  <c r="R212" i="77"/>
  <c r="S212" i="77" s="1"/>
  <c r="Q212" i="77"/>
  <c r="O212" i="77"/>
  <c r="M212" i="77"/>
  <c r="K212" i="77"/>
  <c r="I212" i="77"/>
  <c r="G212" i="77"/>
  <c r="E212" i="77"/>
  <c r="C212" i="77"/>
  <c r="R211" i="77"/>
  <c r="S211" i="77" s="1"/>
  <c r="Q211" i="77"/>
  <c r="O211" i="77"/>
  <c r="M211" i="77"/>
  <c r="K211" i="77"/>
  <c r="I211" i="77"/>
  <c r="G211" i="77"/>
  <c r="E211" i="77"/>
  <c r="C211" i="77"/>
  <c r="R210" i="77"/>
  <c r="S210" i="77" s="1"/>
  <c r="Q210" i="77"/>
  <c r="O210" i="77"/>
  <c r="M210" i="77"/>
  <c r="K210" i="77"/>
  <c r="I210" i="77"/>
  <c r="G210" i="77"/>
  <c r="E210" i="77"/>
  <c r="C210" i="77"/>
  <c r="R209" i="77"/>
  <c r="S209" i="77" s="1"/>
  <c r="Q209" i="77"/>
  <c r="O209" i="77"/>
  <c r="M209" i="77"/>
  <c r="K209" i="77"/>
  <c r="I209" i="77"/>
  <c r="G209" i="77"/>
  <c r="E209" i="77"/>
  <c r="C209" i="77"/>
  <c r="R208" i="77"/>
  <c r="S208" i="77" s="1"/>
  <c r="Q208" i="77"/>
  <c r="O208" i="77"/>
  <c r="M208" i="77"/>
  <c r="K208" i="77"/>
  <c r="I208" i="77"/>
  <c r="G208" i="77"/>
  <c r="E208" i="77"/>
  <c r="C208" i="77"/>
  <c r="R207" i="77"/>
  <c r="S207" i="77" s="1"/>
  <c r="Q207" i="77"/>
  <c r="O207" i="77"/>
  <c r="M207" i="77"/>
  <c r="K207" i="77"/>
  <c r="I207" i="77"/>
  <c r="G207" i="77"/>
  <c r="E207" i="77"/>
  <c r="C207" i="77"/>
  <c r="R206" i="77"/>
  <c r="S206" i="77" s="1"/>
  <c r="Q206" i="77"/>
  <c r="O206" i="77"/>
  <c r="M206" i="77"/>
  <c r="K206" i="77"/>
  <c r="I206" i="77"/>
  <c r="G206" i="77"/>
  <c r="E206" i="77"/>
  <c r="C206" i="77"/>
  <c r="R205" i="77"/>
  <c r="S205" i="77" s="1"/>
  <c r="Q205" i="77"/>
  <c r="O205" i="77"/>
  <c r="M205" i="77"/>
  <c r="K205" i="77"/>
  <c r="I205" i="77"/>
  <c r="G205" i="77"/>
  <c r="E205" i="77"/>
  <c r="C205" i="77"/>
  <c r="R204" i="77"/>
  <c r="S204" i="77" s="1"/>
  <c r="Q204" i="77"/>
  <c r="O204" i="77"/>
  <c r="M204" i="77"/>
  <c r="K204" i="77"/>
  <c r="I204" i="77"/>
  <c r="G204" i="77"/>
  <c r="E204" i="77"/>
  <c r="C204" i="77"/>
  <c r="R203" i="77"/>
  <c r="S203" i="77" s="1"/>
  <c r="Q203" i="77"/>
  <c r="O203" i="77"/>
  <c r="M203" i="77"/>
  <c r="K203" i="77"/>
  <c r="I203" i="77"/>
  <c r="G203" i="77"/>
  <c r="E203" i="77"/>
  <c r="C203" i="77"/>
  <c r="R202" i="77"/>
  <c r="S202" i="77" s="1"/>
  <c r="Q202" i="77"/>
  <c r="O202" i="77"/>
  <c r="M202" i="77"/>
  <c r="K202" i="77"/>
  <c r="I202" i="77"/>
  <c r="G202" i="77"/>
  <c r="E202" i="77"/>
  <c r="C202" i="77"/>
  <c r="R201" i="77"/>
  <c r="S201" i="77" s="1"/>
  <c r="Q201" i="77"/>
  <c r="O201" i="77"/>
  <c r="M201" i="77"/>
  <c r="K201" i="77"/>
  <c r="I201" i="77"/>
  <c r="G201" i="77"/>
  <c r="E201" i="77"/>
  <c r="C201" i="77"/>
  <c r="R200" i="77"/>
  <c r="S200" i="77" s="1"/>
  <c r="Q200" i="77"/>
  <c r="O200" i="77"/>
  <c r="M200" i="77"/>
  <c r="K200" i="77"/>
  <c r="I200" i="77"/>
  <c r="G200" i="77"/>
  <c r="E200" i="77"/>
  <c r="C200" i="77"/>
  <c r="R199" i="77"/>
  <c r="S199" i="77" s="1"/>
  <c r="Q199" i="77"/>
  <c r="O199" i="77"/>
  <c r="M199" i="77"/>
  <c r="K199" i="77"/>
  <c r="I199" i="77"/>
  <c r="G199" i="77"/>
  <c r="E199" i="77"/>
  <c r="C199" i="77"/>
  <c r="R198" i="77"/>
  <c r="S198" i="77" s="1"/>
  <c r="Q198" i="77"/>
  <c r="O198" i="77"/>
  <c r="M198" i="77"/>
  <c r="K198" i="77"/>
  <c r="I198" i="77"/>
  <c r="G198" i="77"/>
  <c r="E198" i="77"/>
  <c r="C198" i="77"/>
  <c r="R197" i="77"/>
  <c r="S197" i="77" s="1"/>
  <c r="Q197" i="77"/>
  <c r="O197" i="77"/>
  <c r="M197" i="77"/>
  <c r="K197" i="77"/>
  <c r="I197" i="77"/>
  <c r="G197" i="77"/>
  <c r="E197" i="77"/>
  <c r="C197" i="77"/>
  <c r="R196" i="77"/>
  <c r="S196" i="77" s="1"/>
  <c r="Q196" i="77"/>
  <c r="O196" i="77"/>
  <c r="M196" i="77"/>
  <c r="K196" i="77"/>
  <c r="I196" i="77"/>
  <c r="G196" i="77"/>
  <c r="E196" i="77"/>
  <c r="C196" i="77"/>
  <c r="R195" i="77"/>
  <c r="S195" i="77" s="1"/>
  <c r="Q195" i="77"/>
  <c r="O195" i="77"/>
  <c r="M195" i="77"/>
  <c r="K195" i="77"/>
  <c r="I195" i="77"/>
  <c r="G195" i="77"/>
  <c r="E195" i="77"/>
  <c r="C195" i="77"/>
  <c r="R194" i="77"/>
  <c r="S194" i="77" s="1"/>
  <c r="Q194" i="77"/>
  <c r="O194" i="77"/>
  <c r="M194" i="77"/>
  <c r="K194" i="77"/>
  <c r="I194" i="77"/>
  <c r="G194" i="77"/>
  <c r="E194" i="77"/>
  <c r="C194" i="77"/>
  <c r="R193" i="77"/>
  <c r="S193" i="77" s="1"/>
  <c r="Q193" i="77"/>
  <c r="O193" i="77"/>
  <c r="M193" i="77"/>
  <c r="K193" i="77"/>
  <c r="I193" i="77"/>
  <c r="G193" i="77"/>
  <c r="E193" i="77"/>
  <c r="C193" i="77"/>
  <c r="R192" i="77"/>
  <c r="S192" i="77" s="1"/>
  <c r="Q192" i="77"/>
  <c r="O192" i="77"/>
  <c r="M192" i="77"/>
  <c r="K192" i="77"/>
  <c r="I192" i="77"/>
  <c r="G192" i="77"/>
  <c r="E192" i="77"/>
  <c r="C192" i="77"/>
  <c r="R191" i="77"/>
  <c r="S191" i="77" s="1"/>
  <c r="Q191" i="77"/>
  <c r="O191" i="77"/>
  <c r="M191" i="77"/>
  <c r="K191" i="77"/>
  <c r="I191" i="77"/>
  <c r="G191" i="77"/>
  <c r="E191" i="77"/>
  <c r="C191" i="77"/>
  <c r="R190" i="77"/>
  <c r="S190" i="77" s="1"/>
  <c r="Q190" i="77"/>
  <c r="O190" i="77"/>
  <c r="M190" i="77"/>
  <c r="K190" i="77"/>
  <c r="I190" i="77"/>
  <c r="G190" i="77"/>
  <c r="E190" i="77"/>
  <c r="C190" i="77"/>
  <c r="R189" i="77"/>
  <c r="S189" i="77" s="1"/>
  <c r="Q189" i="77"/>
  <c r="O189" i="77"/>
  <c r="M189" i="77"/>
  <c r="K189" i="77"/>
  <c r="I189" i="77"/>
  <c r="G189" i="77"/>
  <c r="E189" i="77"/>
  <c r="C189" i="77"/>
  <c r="R188" i="77"/>
  <c r="S188" i="77" s="1"/>
  <c r="Q188" i="77"/>
  <c r="O188" i="77"/>
  <c r="M188" i="77"/>
  <c r="K188" i="77"/>
  <c r="I188" i="77"/>
  <c r="G188" i="77"/>
  <c r="E188" i="77"/>
  <c r="C188" i="77"/>
  <c r="R187" i="77"/>
  <c r="S187" i="77" s="1"/>
  <c r="Q187" i="77"/>
  <c r="O187" i="77"/>
  <c r="M187" i="77"/>
  <c r="K187" i="77"/>
  <c r="I187" i="77"/>
  <c r="G187" i="77"/>
  <c r="E187" i="77"/>
  <c r="C187" i="77"/>
  <c r="R186" i="77"/>
  <c r="S186" i="77" s="1"/>
  <c r="Q186" i="77"/>
  <c r="O186" i="77"/>
  <c r="M186" i="77"/>
  <c r="K186" i="77"/>
  <c r="I186" i="77"/>
  <c r="G186" i="77"/>
  <c r="E186" i="77"/>
  <c r="C186" i="77"/>
  <c r="R185" i="77"/>
  <c r="S185" i="77" s="1"/>
  <c r="Q185" i="77"/>
  <c r="O185" i="77"/>
  <c r="M185" i="77"/>
  <c r="K185" i="77"/>
  <c r="I185" i="77"/>
  <c r="G185" i="77"/>
  <c r="E185" i="77"/>
  <c r="C185" i="77"/>
  <c r="R184" i="77"/>
  <c r="S184" i="77" s="1"/>
  <c r="Q184" i="77"/>
  <c r="O184" i="77"/>
  <c r="M184" i="77"/>
  <c r="K184" i="77"/>
  <c r="I184" i="77"/>
  <c r="G184" i="77"/>
  <c r="E184" i="77"/>
  <c r="C184" i="77"/>
  <c r="R183" i="77"/>
  <c r="S183" i="77" s="1"/>
  <c r="Q183" i="77"/>
  <c r="O183" i="77"/>
  <c r="M183" i="77"/>
  <c r="K183" i="77"/>
  <c r="I183" i="77"/>
  <c r="G183" i="77"/>
  <c r="E183" i="77"/>
  <c r="C183" i="77"/>
  <c r="R182" i="77"/>
  <c r="S182" i="77" s="1"/>
  <c r="Q182" i="77"/>
  <c r="O182" i="77"/>
  <c r="M182" i="77"/>
  <c r="K182" i="77"/>
  <c r="I182" i="77"/>
  <c r="G182" i="77"/>
  <c r="E182" i="77"/>
  <c r="C182" i="77"/>
  <c r="R181" i="77"/>
  <c r="S181" i="77" s="1"/>
  <c r="Q181" i="77"/>
  <c r="O181" i="77"/>
  <c r="M181" i="77"/>
  <c r="K181" i="77"/>
  <c r="I181" i="77"/>
  <c r="G181" i="77"/>
  <c r="E181" i="77"/>
  <c r="C181" i="77"/>
  <c r="R180" i="77"/>
  <c r="S180" i="77" s="1"/>
  <c r="Q180" i="77"/>
  <c r="O180" i="77"/>
  <c r="M180" i="77"/>
  <c r="K180" i="77"/>
  <c r="I180" i="77"/>
  <c r="G180" i="77"/>
  <c r="E180" i="77"/>
  <c r="C180" i="77"/>
  <c r="R179" i="77"/>
  <c r="S179" i="77" s="1"/>
  <c r="Q179" i="77"/>
  <c r="O179" i="77"/>
  <c r="M179" i="77"/>
  <c r="K179" i="77"/>
  <c r="I179" i="77"/>
  <c r="G179" i="77"/>
  <c r="E179" i="77"/>
  <c r="C179" i="77"/>
  <c r="R178" i="77"/>
  <c r="S178" i="77" s="1"/>
  <c r="Q178" i="77"/>
  <c r="O178" i="77"/>
  <c r="M178" i="77"/>
  <c r="K178" i="77"/>
  <c r="I178" i="77"/>
  <c r="G178" i="77"/>
  <c r="E178" i="77"/>
  <c r="C178" i="77"/>
  <c r="R177" i="77"/>
  <c r="S177" i="77" s="1"/>
  <c r="Q177" i="77"/>
  <c r="O177" i="77"/>
  <c r="M177" i="77"/>
  <c r="K177" i="77"/>
  <c r="I177" i="77"/>
  <c r="G177" i="77"/>
  <c r="E177" i="77"/>
  <c r="C177" i="77"/>
  <c r="R176" i="77"/>
  <c r="S176" i="77" s="1"/>
  <c r="Q176" i="77"/>
  <c r="O176" i="77"/>
  <c r="M176" i="77"/>
  <c r="K176" i="77"/>
  <c r="I176" i="77"/>
  <c r="G176" i="77"/>
  <c r="E176" i="77"/>
  <c r="C176" i="77"/>
  <c r="R175" i="77"/>
  <c r="S175" i="77" s="1"/>
  <c r="Q175" i="77"/>
  <c r="O175" i="77"/>
  <c r="M175" i="77"/>
  <c r="K175" i="77"/>
  <c r="I175" i="77"/>
  <c r="G175" i="77"/>
  <c r="E175" i="77"/>
  <c r="C175" i="77"/>
  <c r="R174" i="77"/>
  <c r="S174" i="77" s="1"/>
  <c r="Q174" i="77"/>
  <c r="O174" i="77"/>
  <c r="M174" i="77"/>
  <c r="K174" i="77"/>
  <c r="I174" i="77"/>
  <c r="G174" i="77"/>
  <c r="E174" i="77"/>
  <c r="C174" i="77"/>
  <c r="R173" i="77"/>
  <c r="S173" i="77" s="1"/>
  <c r="Q173" i="77"/>
  <c r="O173" i="77"/>
  <c r="M173" i="77"/>
  <c r="K173" i="77"/>
  <c r="I173" i="77"/>
  <c r="G173" i="77"/>
  <c r="E173" i="77"/>
  <c r="C173" i="77"/>
  <c r="R172" i="77"/>
  <c r="S172" i="77" s="1"/>
  <c r="Q172" i="77"/>
  <c r="O172" i="77"/>
  <c r="M172" i="77"/>
  <c r="K172" i="77"/>
  <c r="I172" i="77"/>
  <c r="G172" i="77"/>
  <c r="E172" i="77"/>
  <c r="C172" i="77"/>
  <c r="R171" i="77"/>
  <c r="S171" i="77" s="1"/>
  <c r="Q171" i="77"/>
  <c r="O171" i="77"/>
  <c r="M171" i="77"/>
  <c r="K171" i="77"/>
  <c r="I171" i="77"/>
  <c r="G171" i="77"/>
  <c r="E171" i="77"/>
  <c r="C171" i="77"/>
  <c r="R170" i="77"/>
  <c r="S170" i="77" s="1"/>
  <c r="Q170" i="77"/>
  <c r="O170" i="77"/>
  <c r="M170" i="77"/>
  <c r="K170" i="77"/>
  <c r="I170" i="77"/>
  <c r="G170" i="77"/>
  <c r="E170" i="77"/>
  <c r="C170" i="77"/>
  <c r="R169" i="77"/>
  <c r="S169" i="77" s="1"/>
  <c r="Q169" i="77"/>
  <c r="O169" i="77"/>
  <c r="M169" i="77"/>
  <c r="K169" i="77"/>
  <c r="I169" i="77"/>
  <c r="G169" i="77"/>
  <c r="E169" i="77"/>
  <c r="C169" i="77"/>
  <c r="R168" i="77"/>
  <c r="S168" i="77" s="1"/>
  <c r="Q168" i="77"/>
  <c r="O168" i="77"/>
  <c r="M168" i="77"/>
  <c r="K168" i="77"/>
  <c r="I168" i="77"/>
  <c r="G168" i="77"/>
  <c r="E168" i="77"/>
  <c r="C168" i="77"/>
  <c r="R167" i="77"/>
  <c r="S167" i="77" s="1"/>
  <c r="Q167" i="77"/>
  <c r="O167" i="77"/>
  <c r="M167" i="77"/>
  <c r="K167" i="77"/>
  <c r="I167" i="77"/>
  <c r="G167" i="77"/>
  <c r="E167" i="77"/>
  <c r="C167" i="77"/>
  <c r="R166" i="77"/>
  <c r="S166" i="77" s="1"/>
  <c r="Q166" i="77"/>
  <c r="O166" i="77"/>
  <c r="M166" i="77"/>
  <c r="K166" i="77"/>
  <c r="I166" i="77"/>
  <c r="G166" i="77"/>
  <c r="E166" i="77"/>
  <c r="C166" i="77"/>
  <c r="R165" i="77"/>
  <c r="S165" i="77" s="1"/>
  <c r="Q165" i="77"/>
  <c r="O165" i="77"/>
  <c r="M165" i="77"/>
  <c r="K165" i="77"/>
  <c r="I165" i="77"/>
  <c r="G165" i="77"/>
  <c r="E165" i="77"/>
  <c r="C165" i="77"/>
  <c r="R164" i="77"/>
  <c r="S164" i="77" s="1"/>
  <c r="Q164" i="77"/>
  <c r="O164" i="77"/>
  <c r="M164" i="77"/>
  <c r="K164" i="77"/>
  <c r="I164" i="77"/>
  <c r="G164" i="77"/>
  <c r="E164" i="77"/>
  <c r="C164" i="77"/>
  <c r="R163" i="77"/>
  <c r="S163" i="77" s="1"/>
  <c r="Q163" i="77"/>
  <c r="O163" i="77"/>
  <c r="M163" i="77"/>
  <c r="K163" i="77"/>
  <c r="I163" i="77"/>
  <c r="G163" i="77"/>
  <c r="E163" i="77"/>
  <c r="C163" i="77"/>
  <c r="R162" i="77"/>
  <c r="S162" i="77" s="1"/>
  <c r="Q162" i="77"/>
  <c r="O162" i="77"/>
  <c r="M162" i="77"/>
  <c r="K162" i="77"/>
  <c r="I162" i="77"/>
  <c r="G162" i="77"/>
  <c r="E162" i="77"/>
  <c r="C162" i="77"/>
  <c r="R161" i="77"/>
  <c r="S161" i="77" s="1"/>
  <c r="Q161" i="77"/>
  <c r="O161" i="77"/>
  <c r="M161" i="77"/>
  <c r="K161" i="77"/>
  <c r="I161" i="77"/>
  <c r="G161" i="77"/>
  <c r="E161" i="77"/>
  <c r="C161" i="77"/>
  <c r="R160" i="77"/>
  <c r="S160" i="77" s="1"/>
  <c r="Q160" i="77"/>
  <c r="O160" i="77"/>
  <c r="M160" i="77"/>
  <c r="K160" i="77"/>
  <c r="I160" i="77"/>
  <c r="G160" i="77"/>
  <c r="E160" i="77"/>
  <c r="C160" i="77"/>
  <c r="R159" i="77"/>
  <c r="S159" i="77" s="1"/>
  <c r="Q159" i="77"/>
  <c r="O159" i="77"/>
  <c r="M159" i="77"/>
  <c r="K159" i="77"/>
  <c r="I159" i="77"/>
  <c r="G159" i="77"/>
  <c r="E159" i="77"/>
  <c r="C159" i="77"/>
  <c r="R158" i="77"/>
  <c r="S158" i="77" s="1"/>
  <c r="Q158" i="77"/>
  <c r="O158" i="77"/>
  <c r="M158" i="77"/>
  <c r="K158" i="77"/>
  <c r="I158" i="77"/>
  <c r="G158" i="77"/>
  <c r="E158" i="77"/>
  <c r="C158" i="77"/>
  <c r="R157" i="77"/>
  <c r="S157" i="77" s="1"/>
  <c r="Q157" i="77"/>
  <c r="O157" i="77"/>
  <c r="M157" i="77"/>
  <c r="K157" i="77"/>
  <c r="I157" i="77"/>
  <c r="G157" i="77"/>
  <c r="E157" i="77"/>
  <c r="C157" i="77"/>
  <c r="R156" i="77"/>
  <c r="S156" i="77" s="1"/>
  <c r="Q156" i="77"/>
  <c r="O156" i="77"/>
  <c r="M156" i="77"/>
  <c r="K156" i="77"/>
  <c r="I156" i="77"/>
  <c r="G156" i="77"/>
  <c r="E156" i="77"/>
  <c r="C156" i="77"/>
  <c r="R155" i="77"/>
  <c r="S155" i="77" s="1"/>
  <c r="Q155" i="77"/>
  <c r="O155" i="77"/>
  <c r="M155" i="77"/>
  <c r="K155" i="77"/>
  <c r="I155" i="77"/>
  <c r="G155" i="77"/>
  <c r="E155" i="77"/>
  <c r="C155" i="77"/>
  <c r="R154" i="77"/>
  <c r="S154" i="77" s="1"/>
  <c r="Q154" i="77"/>
  <c r="O154" i="77"/>
  <c r="M154" i="77"/>
  <c r="K154" i="77"/>
  <c r="I154" i="77"/>
  <c r="G154" i="77"/>
  <c r="E154" i="77"/>
  <c r="C154" i="77"/>
  <c r="R153" i="77"/>
  <c r="S153" i="77" s="1"/>
  <c r="Q153" i="77"/>
  <c r="O153" i="77"/>
  <c r="M153" i="77"/>
  <c r="K153" i="77"/>
  <c r="I153" i="77"/>
  <c r="G153" i="77"/>
  <c r="E153" i="77"/>
  <c r="C153" i="77"/>
  <c r="R152" i="77"/>
  <c r="S152" i="77" s="1"/>
  <c r="Q152" i="77"/>
  <c r="O152" i="77"/>
  <c r="M152" i="77"/>
  <c r="K152" i="77"/>
  <c r="I152" i="77"/>
  <c r="G152" i="77"/>
  <c r="E152" i="77"/>
  <c r="C152" i="77"/>
  <c r="R151" i="77"/>
  <c r="S151" i="77" s="1"/>
  <c r="Q151" i="77"/>
  <c r="O151" i="77"/>
  <c r="M151" i="77"/>
  <c r="K151" i="77"/>
  <c r="I151" i="77"/>
  <c r="G151" i="77"/>
  <c r="E151" i="77"/>
  <c r="C151" i="77"/>
  <c r="R150" i="77"/>
  <c r="S150" i="77" s="1"/>
  <c r="Q150" i="77"/>
  <c r="O150" i="77"/>
  <c r="M150" i="77"/>
  <c r="K150" i="77"/>
  <c r="I150" i="77"/>
  <c r="G150" i="77"/>
  <c r="E150" i="77"/>
  <c r="C150" i="77"/>
  <c r="R149" i="77"/>
  <c r="S149" i="77" s="1"/>
  <c r="Q149" i="77"/>
  <c r="O149" i="77"/>
  <c r="M149" i="77"/>
  <c r="K149" i="77"/>
  <c r="I149" i="77"/>
  <c r="G149" i="77"/>
  <c r="E149" i="77"/>
  <c r="C149" i="77"/>
  <c r="R148" i="77"/>
  <c r="S148" i="77" s="1"/>
  <c r="Q148" i="77"/>
  <c r="O148" i="77"/>
  <c r="M148" i="77"/>
  <c r="K148" i="77"/>
  <c r="I148" i="77"/>
  <c r="G148" i="77"/>
  <c r="E148" i="77"/>
  <c r="C148" i="77"/>
  <c r="R147" i="77"/>
  <c r="S147" i="77" s="1"/>
  <c r="Q147" i="77"/>
  <c r="O147" i="77"/>
  <c r="M147" i="77"/>
  <c r="K147" i="77"/>
  <c r="I147" i="77"/>
  <c r="G147" i="77"/>
  <c r="E147" i="77"/>
  <c r="C147" i="77"/>
  <c r="R146" i="77"/>
  <c r="S146" i="77" s="1"/>
  <c r="Q146" i="77"/>
  <c r="O146" i="77"/>
  <c r="M146" i="77"/>
  <c r="K146" i="77"/>
  <c r="I146" i="77"/>
  <c r="G146" i="77"/>
  <c r="E146" i="77"/>
  <c r="C146" i="77"/>
  <c r="R145" i="77"/>
  <c r="S145" i="77" s="1"/>
  <c r="Q145" i="77"/>
  <c r="O145" i="77"/>
  <c r="M145" i="77"/>
  <c r="K145" i="77"/>
  <c r="I145" i="77"/>
  <c r="G145" i="77"/>
  <c r="E145" i="77"/>
  <c r="C145" i="77"/>
  <c r="R144" i="77"/>
  <c r="S144" i="77" s="1"/>
  <c r="Q144" i="77"/>
  <c r="O144" i="77"/>
  <c r="M144" i="77"/>
  <c r="K144" i="77"/>
  <c r="I144" i="77"/>
  <c r="G144" i="77"/>
  <c r="E144" i="77"/>
  <c r="C144" i="77"/>
  <c r="R143" i="77"/>
  <c r="S143" i="77" s="1"/>
  <c r="Q143" i="77"/>
  <c r="O143" i="77"/>
  <c r="M143" i="77"/>
  <c r="K143" i="77"/>
  <c r="I143" i="77"/>
  <c r="G143" i="77"/>
  <c r="E143" i="77"/>
  <c r="C143" i="77"/>
  <c r="R142" i="77"/>
  <c r="S142" i="77" s="1"/>
  <c r="Q142" i="77"/>
  <c r="O142" i="77"/>
  <c r="M142" i="77"/>
  <c r="K142" i="77"/>
  <c r="I142" i="77"/>
  <c r="G142" i="77"/>
  <c r="E142" i="77"/>
  <c r="C142" i="77"/>
  <c r="R141" i="77"/>
  <c r="S141" i="77" s="1"/>
  <c r="Q141" i="77"/>
  <c r="O141" i="77"/>
  <c r="M141" i="77"/>
  <c r="K141" i="77"/>
  <c r="I141" i="77"/>
  <c r="G141" i="77"/>
  <c r="E141" i="77"/>
  <c r="C141" i="77"/>
  <c r="R140" i="77"/>
  <c r="S140" i="77" s="1"/>
  <c r="Q140" i="77"/>
  <c r="O140" i="77"/>
  <c r="M140" i="77"/>
  <c r="K140" i="77"/>
  <c r="I140" i="77"/>
  <c r="G140" i="77"/>
  <c r="E140" i="77"/>
  <c r="C140" i="77"/>
  <c r="R139" i="77"/>
  <c r="S139" i="77" s="1"/>
  <c r="Q139" i="77"/>
  <c r="O139" i="77"/>
  <c r="M139" i="77"/>
  <c r="K139" i="77"/>
  <c r="I139" i="77"/>
  <c r="G139" i="77"/>
  <c r="E139" i="77"/>
  <c r="C139" i="77"/>
  <c r="R138" i="77"/>
  <c r="S138" i="77" s="1"/>
  <c r="Q138" i="77"/>
  <c r="O138" i="77"/>
  <c r="M138" i="77"/>
  <c r="K138" i="77"/>
  <c r="I138" i="77"/>
  <c r="G138" i="77"/>
  <c r="E138" i="77"/>
  <c r="C138" i="77"/>
  <c r="R137" i="77"/>
  <c r="S137" i="77" s="1"/>
  <c r="Q137" i="77"/>
  <c r="O137" i="77"/>
  <c r="M137" i="77"/>
  <c r="K137" i="77"/>
  <c r="I137" i="77"/>
  <c r="G137" i="77"/>
  <c r="E137" i="77"/>
  <c r="C137" i="77"/>
  <c r="R136" i="77"/>
  <c r="S136" i="77" s="1"/>
  <c r="Q136" i="77"/>
  <c r="O136" i="77"/>
  <c r="M136" i="77"/>
  <c r="K136" i="77"/>
  <c r="I136" i="77"/>
  <c r="G136" i="77"/>
  <c r="E136" i="77"/>
  <c r="C136" i="77"/>
  <c r="R135" i="77"/>
  <c r="S135" i="77" s="1"/>
  <c r="Q135" i="77"/>
  <c r="O135" i="77"/>
  <c r="M135" i="77"/>
  <c r="K135" i="77"/>
  <c r="I135" i="77"/>
  <c r="G135" i="77"/>
  <c r="E135" i="77"/>
  <c r="C135" i="77"/>
  <c r="R134" i="77"/>
  <c r="S134" i="77" s="1"/>
  <c r="Q134" i="77"/>
  <c r="O134" i="77"/>
  <c r="M134" i="77"/>
  <c r="K134" i="77"/>
  <c r="I134" i="77"/>
  <c r="G134" i="77"/>
  <c r="E134" i="77"/>
  <c r="C134" i="77"/>
  <c r="R133" i="77"/>
  <c r="S133" i="77" s="1"/>
  <c r="Q133" i="77"/>
  <c r="O133" i="77"/>
  <c r="M133" i="77"/>
  <c r="K133" i="77"/>
  <c r="I133" i="77"/>
  <c r="G133" i="77"/>
  <c r="E133" i="77"/>
  <c r="C133" i="77"/>
  <c r="R132" i="77"/>
  <c r="S132" i="77" s="1"/>
  <c r="Q132" i="77"/>
  <c r="O132" i="77"/>
  <c r="M132" i="77"/>
  <c r="K132" i="77"/>
  <c r="I132" i="77"/>
  <c r="G132" i="77"/>
  <c r="E132" i="77"/>
  <c r="C132" i="77"/>
  <c r="R131" i="77"/>
  <c r="S131" i="77" s="1"/>
  <c r="Q131" i="77"/>
  <c r="O131" i="77"/>
  <c r="M131" i="77"/>
  <c r="K131" i="77"/>
  <c r="I131" i="77"/>
  <c r="G131" i="77"/>
  <c r="E131" i="77"/>
  <c r="C131" i="77"/>
  <c r="R130" i="77"/>
  <c r="S130" i="77" s="1"/>
  <c r="Q130" i="77"/>
  <c r="O130" i="77"/>
  <c r="M130" i="77"/>
  <c r="K130" i="77"/>
  <c r="I130" i="77"/>
  <c r="G130" i="77"/>
  <c r="E130" i="77"/>
  <c r="C130" i="77"/>
  <c r="R129" i="77"/>
  <c r="S129" i="77" s="1"/>
  <c r="Q129" i="77"/>
  <c r="O129" i="77"/>
  <c r="M129" i="77"/>
  <c r="K129" i="77"/>
  <c r="I129" i="77"/>
  <c r="G129" i="77"/>
  <c r="E129" i="77"/>
  <c r="C129" i="77"/>
  <c r="R128" i="77"/>
  <c r="S128" i="77" s="1"/>
  <c r="Q128" i="77"/>
  <c r="O128" i="77"/>
  <c r="M128" i="77"/>
  <c r="K128" i="77"/>
  <c r="I128" i="77"/>
  <c r="G128" i="77"/>
  <c r="E128" i="77"/>
  <c r="C128" i="77"/>
  <c r="R127" i="77"/>
  <c r="S127" i="77" s="1"/>
  <c r="Q127" i="77"/>
  <c r="O127" i="77"/>
  <c r="M127" i="77"/>
  <c r="K127" i="77"/>
  <c r="I127" i="77"/>
  <c r="G127" i="77"/>
  <c r="E127" i="77"/>
  <c r="C127" i="77"/>
  <c r="R126" i="77"/>
  <c r="S126" i="77" s="1"/>
  <c r="Q126" i="77"/>
  <c r="O126" i="77"/>
  <c r="M126" i="77"/>
  <c r="K126" i="77"/>
  <c r="I126" i="77"/>
  <c r="G126" i="77"/>
  <c r="E126" i="77"/>
  <c r="C126" i="77"/>
  <c r="R125" i="77"/>
  <c r="S125" i="77" s="1"/>
  <c r="Q125" i="77"/>
  <c r="O125" i="77"/>
  <c r="M125" i="77"/>
  <c r="K125" i="77"/>
  <c r="I125" i="77"/>
  <c r="G125" i="77"/>
  <c r="E125" i="77"/>
  <c r="C125" i="77"/>
  <c r="R124" i="77"/>
  <c r="S124" i="77" s="1"/>
  <c r="Q124" i="77"/>
  <c r="O124" i="77"/>
  <c r="M124" i="77"/>
  <c r="K124" i="77"/>
  <c r="I124" i="77"/>
  <c r="G124" i="77"/>
  <c r="E124" i="77"/>
  <c r="C124" i="77"/>
  <c r="R123" i="77"/>
  <c r="S123" i="77" s="1"/>
  <c r="Q123" i="77"/>
  <c r="O123" i="77"/>
  <c r="M123" i="77"/>
  <c r="K123" i="77"/>
  <c r="I123" i="77"/>
  <c r="G123" i="77"/>
  <c r="E123" i="77"/>
  <c r="C123" i="77"/>
  <c r="R122" i="77"/>
  <c r="S122" i="77" s="1"/>
  <c r="Q122" i="77"/>
  <c r="O122" i="77"/>
  <c r="M122" i="77"/>
  <c r="K122" i="77"/>
  <c r="I122" i="77"/>
  <c r="G122" i="77"/>
  <c r="E122" i="77"/>
  <c r="C122" i="77"/>
  <c r="R121" i="77"/>
  <c r="S121" i="77" s="1"/>
  <c r="Q121" i="77"/>
  <c r="O121" i="77"/>
  <c r="M121" i="77"/>
  <c r="K121" i="77"/>
  <c r="I121" i="77"/>
  <c r="G121" i="77"/>
  <c r="E121" i="77"/>
  <c r="C121" i="77"/>
  <c r="R120" i="77"/>
  <c r="S120" i="77" s="1"/>
  <c r="Q120" i="77"/>
  <c r="O120" i="77"/>
  <c r="M120" i="77"/>
  <c r="K120" i="77"/>
  <c r="I120" i="77"/>
  <c r="G120" i="77"/>
  <c r="E120" i="77"/>
  <c r="C120" i="77"/>
  <c r="R119" i="77"/>
  <c r="S119" i="77" s="1"/>
  <c r="Q119" i="77"/>
  <c r="O119" i="77"/>
  <c r="M119" i="77"/>
  <c r="K119" i="77"/>
  <c r="I119" i="77"/>
  <c r="G119" i="77"/>
  <c r="E119" i="77"/>
  <c r="C119" i="77"/>
  <c r="R118" i="77"/>
  <c r="S118" i="77" s="1"/>
  <c r="Q118" i="77"/>
  <c r="O118" i="77"/>
  <c r="M118" i="77"/>
  <c r="K118" i="77"/>
  <c r="I118" i="77"/>
  <c r="G118" i="77"/>
  <c r="E118" i="77"/>
  <c r="C118" i="77"/>
  <c r="R117" i="77"/>
  <c r="S117" i="77" s="1"/>
  <c r="Q117" i="77"/>
  <c r="O117" i="77"/>
  <c r="M117" i="77"/>
  <c r="K117" i="77"/>
  <c r="I117" i="77"/>
  <c r="G117" i="77"/>
  <c r="E117" i="77"/>
  <c r="C117" i="77"/>
  <c r="R116" i="77"/>
  <c r="S116" i="77" s="1"/>
  <c r="Q116" i="77"/>
  <c r="O116" i="77"/>
  <c r="M116" i="77"/>
  <c r="K116" i="77"/>
  <c r="I116" i="77"/>
  <c r="G116" i="77"/>
  <c r="E116" i="77"/>
  <c r="C116" i="77"/>
  <c r="R115" i="77"/>
  <c r="S115" i="77" s="1"/>
  <c r="Q115" i="77"/>
  <c r="O115" i="77"/>
  <c r="M115" i="77"/>
  <c r="K115" i="77"/>
  <c r="I115" i="77"/>
  <c r="G115" i="77"/>
  <c r="E115" i="77"/>
  <c r="C115" i="77"/>
  <c r="R114" i="77"/>
  <c r="S114" i="77" s="1"/>
  <c r="Q114" i="77"/>
  <c r="O114" i="77"/>
  <c r="M114" i="77"/>
  <c r="K114" i="77"/>
  <c r="I114" i="77"/>
  <c r="G114" i="77"/>
  <c r="E114" i="77"/>
  <c r="C114" i="77"/>
  <c r="R113" i="77"/>
  <c r="S113" i="77" s="1"/>
  <c r="Q113" i="77"/>
  <c r="O113" i="77"/>
  <c r="M113" i="77"/>
  <c r="K113" i="77"/>
  <c r="I113" i="77"/>
  <c r="G113" i="77"/>
  <c r="E113" i="77"/>
  <c r="C113" i="77"/>
  <c r="R112" i="77"/>
  <c r="S112" i="77" s="1"/>
  <c r="Q112" i="77"/>
  <c r="O112" i="77"/>
  <c r="M112" i="77"/>
  <c r="K112" i="77"/>
  <c r="I112" i="77"/>
  <c r="G112" i="77"/>
  <c r="E112" i="77"/>
  <c r="C112" i="77"/>
  <c r="R111" i="77"/>
  <c r="S111" i="77" s="1"/>
  <c r="Q111" i="77"/>
  <c r="O111" i="77"/>
  <c r="M111" i="77"/>
  <c r="K111" i="77"/>
  <c r="I111" i="77"/>
  <c r="G111" i="77"/>
  <c r="E111" i="77"/>
  <c r="C111" i="77"/>
  <c r="R110" i="77"/>
  <c r="S110" i="77" s="1"/>
  <c r="Q110" i="77"/>
  <c r="O110" i="77"/>
  <c r="M110" i="77"/>
  <c r="K110" i="77"/>
  <c r="I110" i="77"/>
  <c r="G110" i="77"/>
  <c r="E110" i="77"/>
  <c r="C110" i="77"/>
  <c r="R109" i="77"/>
  <c r="S109" i="77" s="1"/>
  <c r="Q109" i="77"/>
  <c r="O109" i="77"/>
  <c r="M109" i="77"/>
  <c r="K109" i="77"/>
  <c r="I109" i="77"/>
  <c r="G109" i="77"/>
  <c r="E109" i="77"/>
  <c r="C109" i="77"/>
  <c r="R108" i="77"/>
  <c r="S108" i="77" s="1"/>
  <c r="Q108" i="77"/>
  <c r="O108" i="77"/>
  <c r="M108" i="77"/>
  <c r="K108" i="77"/>
  <c r="I108" i="77"/>
  <c r="G108" i="77"/>
  <c r="E108" i="77"/>
  <c r="C108" i="77"/>
  <c r="R107" i="77"/>
  <c r="S107" i="77" s="1"/>
  <c r="Q107" i="77"/>
  <c r="O107" i="77"/>
  <c r="M107" i="77"/>
  <c r="K107" i="77"/>
  <c r="I107" i="77"/>
  <c r="G107" i="77"/>
  <c r="E107" i="77"/>
  <c r="C107" i="77"/>
  <c r="R106" i="77"/>
  <c r="S106" i="77" s="1"/>
  <c r="Q106" i="77"/>
  <c r="O106" i="77"/>
  <c r="M106" i="77"/>
  <c r="K106" i="77"/>
  <c r="I106" i="77"/>
  <c r="G106" i="77"/>
  <c r="E106" i="77"/>
  <c r="C106" i="77"/>
  <c r="R105" i="77"/>
  <c r="S105" i="77" s="1"/>
  <c r="Q105" i="77"/>
  <c r="O105" i="77"/>
  <c r="M105" i="77"/>
  <c r="K105" i="77"/>
  <c r="I105" i="77"/>
  <c r="G105" i="77"/>
  <c r="E105" i="77"/>
  <c r="C105" i="77"/>
  <c r="R104" i="77"/>
  <c r="S104" i="77" s="1"/>
  <c r="Q104" i="77"/>
  <c r="O104" i="77"/>
  <c r="M104" i="77"/>
  <c r="K104" i="77"/>
  <c r="I104" i="77"/>
  <c r="G104" i="77"/>
  <c r="E104" i="77"/>
  <c r="C104" i="77"/>
  <c r="R103" i="77"/>
  <c r="S103" i="77" s="1"/>
  <c r="Q103" i="77"/>
  <c r="O103" i="77"/>
  <c r="M103" i="77"/>
  <c r="K103" i="77"/>
  <c r="I103" i="77"/>
  <c r="G103" i="77"/>
  <c r="E103" i="77"/>
  <c r="C103" i="77"/>
  <c r="R102" i="77"/>
  <c r="S102" i="77" s="1"/>
  <c r="Q102" i="77"/>
  <c r="O102" i="77"/>
  <c r="M102" i="77"/>
  <c r="K102" i="77"/>
  <c r="I102" i="77"/>
  <c r="G102" i="77"/>
  <c r="E102" i="77"/>
  <c r="C102" i="77"/>
  <c r="R101" i="77"/>
  <c r="S101" i="77" s="1"/>
  <c r="Q101" i="77"/>
  <c r="O101" i="77"/>
  <c r="M101" i="77"/>
  <c r="K101" i="77"/>
  <c r="I101" i="77"/>
  <c r="G101" i="77"/>
  <c r="E101" i="77"/>
  <c r="C101" i="77"/>
  <c r="R100" i="77"/>
  <c r="S100" i="77" s="1"/>
  <c r="Q100" i="77"/>
  <c r="O100" i="77"/>
  <c r="M100" i="77"/>
  <c r="K100" i="77"/>
  <c r="I100" i="77"/>
  <c r="G100" i="77"/>
  <c r="E100" i="77"/>
  <c r="C100" i="77"/>
  <c r="R99" i="77"/>
  <c r="S99" i="77" s="1"/>
  <c r="Q99" i="77"/>
  <c r="O99" i="77"/>
  <c r="M99" i="77"/>
  <c r="K99" i="77"/>
  <c r="I99" i="77"/>
  <c r="G99" i="77"/>
  <c r="E99" i="77"/>
  <c r="C99" i="77"/>
  <c r="R98" i="77"/>
  <c r="S98" i="77" s="1"/>
  <c r="Q98" i="77"/>
  <c r="O98" i="77"/>
  <c r="M98" i="77"/>
  <c r="K98" i="77"/>
  <c r="I98" i="77"/>
  <c r="G98" i="77"/>
  <c r="E98" i="77"/>
  <c r="C98" i="77"/>
  <c r="R97" i="77"/>
  <c r="S97" i="77" s="1"/>
  <c r="Q97" i="77"/>
  <c r="O97" i="77"/>
  <c r="M97" i="77"/>
  <c r="K97" i="77"/>
  <c r="I97" i="77"/>
  <c r="G97" i="77"/>
  <c r="E97" i="77"/>
  <c r="C97" i="77"/>
  <c r="R96" i="77"/>
  <c r="S96" i="77" s="1"/>
  <c r="Q96" i="77"/>
  <c r="O96" i="77"/>
  <c r="M96" i="77"/>
  <c r="K96" i="77"/>
  <c r="I96" i="77"/>
  <c r="G96" i="77"/>
  <c r="E96" i="77"/>
  <c r="C96" i="77"/>
  <c r="R95" i="77"/>
  <c r="S95" i="77" s="1"/>
  <c r="Q95" i="77"/>
  <c r="O95" i="77"/>
  <c r="M95" i="77"/>
  <c r="K95" i="77"/>
  <c r="I95" i="77"/>
  <c r="G95" i="77"/>
  <c r="E95" i="77"/>
  <c r="C95" i="77"/>
  <c r="R94" i="77"/>
  <c r="S94" i="77" s="1"/>
  <c r="Q94" i="77"/>
  <c r="O94" i="77"/>
  <c r="M94" i="77"/>
  <c r="K94" i="77"/>
  <c r="I94" i="77"/>
  <c r="G94" i="77"/>
  <c r="E94" i="77"/>
  <c r="C94" i="77"/>
  <c r="R93" i="77"/>
  <c r="S93" i="77" s="1"/>
  <c r="Q93" i="77"/>
  <c r="O93" i="77"/>
  <c r="M93" i="77"/>
  <c r="K93" i="77"/>
  <c r="I93" i="77"/>
  <c r="G93" i="77"/>
  <c r="E93" i="77"/>
  <c r="C93" i="77"/>
  <c r="R92" i="77"/>
  <c r="S92" i="77" s="1"/>
  <c r="Q92" i="77"/>
  <c r="O92" i="77"/>
  <c r="M92" i="77"/>
  <c r="K92" i="77"/>
  <c r="I92" i="77"/>
  <c r="G92" i="77"/>
  <c r="E92" i="77"/>
  <c r="C92" i="77"/>
  <c r="R91" i="77"/>
  <c r="S91" i="77" s="1"/>
  <c r="Q91" i="77"/>
  <c r="O91" i="77"/>
  <c r="M91" i="77"/>
  <c r="K91" i="77"/>
  <c r="I91" i="77"/>
  <c r="G91" i="77"/>
  <c r="E91" i="77"/>
  <c r="C91" i="77"/>
  <c r="R90" i="77"/>
  <c r="S90" i="77" s="1"/>
  <c r="Q90" i="77"/>
  <c r="O90" i="77"/>
  <c r="M90" i="77"/>
  <c r="K90" i="77"/>
  <c r="I90" i="77"/>
  <c r="G90" i="77"/>
  <c r="E90" i="77"/>
  <c r="C90" i="77"/>
  <c r="R89" i="77"/>
  <c r="S89" i="77" s="1"/>
  <c r="Q89" i="77"/>
  <c r="O89" i="77"/>
  <c r="M89" i="77"/>
  <c r="K89" i="77"/>
  <c r="I89" i="77"/>
  <c r="G89" i="77"/>
  <c r="E89" i="77"/>
  <c r="C89" i="77"/>
  <c r="R88" i="77"/>
  <c r="S88" i="77" s="1"/>
  <c r="Q88" i="77"/>
  <c r="O88" i="77"/>
  <c r="M88" i="77"/>
  <c r="K88" i="77"/>
  <c r="I88" i="77"/>
  <c r="G88" i="77"/>
  <c r="E88" i="77"/>
  <c r="C88" i="77"/>
  <c r="R87" i="77"/>
  <c r="S87" i="77" s="1"/>
  <c r="Q87" i="77"/>
  <c r="O87" i="77"/>
  <c r="M87" i="77"/>
  <c r="K87" i="77"/>
  <c r="I87" i="77"/>
  <c r="G87" i="77"/>
  <c r="E87" i="77"/>
  <c r="C87" i="77"/>
  <c r="R86" i="77"/>
  <c r="S86" i="77" s="1"/>
  <c r="Q86" i="77"/>
  <c r="O86" i="77"/>
  <c r="M86" i="77"/>
  <c r="K86" i="77"/>
  <c r="I86" i="77"/>
  <c r="G86" i="77"/>
  <c r="E86" i="77"/>
  <c r="C86" i="77"/>
  <c r="R85" i="77"/>
  <c r="S85" i="77" s="1"/>
  <c r="Q85" i="77"/>
  <c r="O85" i="77"/>
  <c r="M85" i="77"/>
  <c r="K85" i="77"/>
  <c r="I85" i="77"/>
  <c r="G85" i="77"/>
  <c r="E85" i="77"/>
  <c r="C85" i="77"/>
  <c r="R84" i="77"/>
  <c r="S84" i="77" s="1"/>
  <c r="Q84" i="77"/>
  <c r="O84" i="77"/>
  <c r="M84" i="77"/>
  <c r="K84" i="77"/>
  <c r="I84" i="77"/>
  <c r="G84" i="77"/>
  <c r="E84" i="77"/>
  <c r="C84" i="77"/>
  <c r="R83" i="77"/>
  <c r="S83" i="77" s="1"/>
  <c r="Q83" i="77"/>
  <c r="O83" i="77"/>
  <c r="M83" i="77"/>
  <c r="K83" i="77"/>
  <c r="I83" i="77"/>
  <c r="G83" i="77"/>
  <c r="E83" i="77"/>
  <c r="C83" i="77"/>
  <c r="R82" i="77"/>
  <c r="S82" i="77" s="1"/>
  <c r="Q82" i="77"/>
  <c r="O82" i="77"/>
  <c r="M82" i="77"/>
  <c r="K82" i="77"/>
  <c r="I82" i="77"/>
  <c r="G82" i="77"/>
  <c r="E82" i="77"/>
  <c r="C82" i="77"/>
  <c r="R81" i="77"/>
  <c r="S81" i="77" s="1"/>
  <c r="Q81" i="77"/>
  <c r="O81" i="77"/>
  <c r="M81" i="77"/>
  <c r="K81" i="77"/>
  <c r="I81" i="77"/>
  <c r="G81" i="77"/>
  <c r="E81" i="77"/>
  <c r="C81" i="77"/>
  <c r="R80" i="77"/>
  <c r="S80" i="77" s="1"/>
  <c r="Q80" i="77"/>
  <c r="O80" i="77"/>
  <c r="M80" i="77"/>
  <c r="K80" i="77"/>
  <c r="I80" i="77"/>
  <c r="G80" i="77"/>
  <c r="E80" i="77"/>
  <c r="C80" i="77"/>
  <c r="R79" i="77"/>
  <c r="S79" i="77" s="1"/>
  <c r="Q79" i="77"/>
  <c r="O79" i="77"/>
  <c r="M79" i="77"/>
  <c r="K79" i="77"/>
  <c r="I79" i="77"/>
  <c r="G79" i="77"/>
  <c r="E79" i="77"/>
  <c r="C79" i="77"/>
  <c r="R78" i="77"/>
  <c r="S78" i="77" s="1"/>
  <c r="Q78" i="77"/>
  <c r="O78" i="77"/>
  <c r="M78" i="77"/>
  <c r="K78" i="77"/>
  <c r="I78" i="77"/>
  <c r="G78" i="77"/>
  <c r="E78" i="77"/>
  <c r="C78" i="77"/>
  <c r="R77" i="77"/>
  <c r="S77" i="77" s="1"/>
  <c r="Q77" i="77"/>
  <c r="O77" i="77"/>
  <c r="M77" i="77"/>
  <c r="K77" i="77"/>
  <c r="I77" i="77"/>
  <c r="G77" i="77"/>
  <c r="E77" i="77"/>
  <c r="C77" i="77"/>
  <c r="R76" i="77"/>
  <c r="S76" i="77" s="1"/>
  <c r="Q76" i="77"/>
  <c r="O76" i="77"/>
  <c r="M76" i="77"/>
  <c r="K76" i="77"/>
  <c r="I76" i="77"/>
  <c r="G76" i="77"/>
  <c r="E76" i="77"/>
  <c r="C76" i="77"/>
  <c r="R75" i="77"/>
  <c r="S75" i="77" s="1"/>
  <c r="Q75" i="77"/>
  <c r="O75" i="77"/>
  <c r="M75" i="77"/>
  <c r="K75" i="77"/>
  <c r="I75" i="77"/>
  <c r="G75" i="77"/>
  <c r="E75" i="77"/>
  <c r="C75" i="77"/>
  <c r="R74" i="77"/>
  <c r="S74" i="77" s="1"/>
  <c r="Q74" i="77"/>
  <c r="O74" i="77"/>
  <c r="M74" i="77"/>
  <c r="K74" i="77"/>
  <c r="I74" i="77"/>
  <c r="G74" i="77"/>
  <c r="E74" i="77"/>
  <c r="C74" i="77"/>
  <c r="R73" i="77"/>
  <c r="S73" i="77" s="1"/>
  <c r="Q73" i="77"/>
  <c r="O73" i="77"/>
  <c r="M73" i="77"/>
  <c r="K73" i="77"/>
  <c r="I73" i="77"/>
  <c r="G73" i="77"/>
  <c r="E73" i="77"/>
  <c r="C73" i="77"/>
  <c r="R72" i="77"/>
  <c r="S72" i="77" s="1"/>
  <c r="Q72" i="77"/>
  <c r="O72" i="77"/>
  <c r="M72" i="77"/>
  <c r="K72" i="77"/>
  <c r="I72" i="77"/>
  <c r="G72" i="77"/>
  <c r="E72" i="77"/>
  <c r="C72" i="77"/>
  <c r="R71" i="77"/>
  <c r="S71" i="77" s="1"/>
  <c r="Q71" i="77"/>
  <c r="O71" i="77"/>
  <c r="M71" i="77"/>
  <c r="K71" i="77"/>
  <c r="I71" i="77"/>
  <c r="G71" i="77"/>
  <c r="E71" i="77"/>
  <c r="C71" i="77"/>
  <c r="R70" i="77"/>
  <c r="S70" i="77" s="1"/>
  <c r="Q70" i="77"/>
  <c r="O70" i="77"/>
  <c r="M70" i="77"/>
  <c r="K70" i="77"/>
  <c r="I70" i="77"/>
  <c r="G70" i="77"/>
  <c r="E70" i="77"/>
  <c r="C70" i="77"/>
  <c r="R69" i="77"/>
  <c r="S69" i="77" s="1"/>
  <c r="Q69" i="77"/>
  <c r="O69" i="77"/>
  <c r="M69" i="77"/>
  <c r="K69" i="77"/>
  <c r="I69" i="77"/>
  <c r="G69" i="77"/>
  <c r="E69" i="77"/>
  <c r="C69" i="77"/>
  <c r="R68" i="77"/>
  <c r="S68" i="77" s="1"/>
  <c r="Q68" i="77"/>
  <c r="O68" i="77"/>
  <c r="M68" i="77"/>
  <c r="K68" i="77"/>
  <c r="I68" i="77"/>
  <c r="G68" i="77"/>
  <c r="E68" i="77"/>
  <c r="C68" i="77"/>
  <c r="R67" i="77"/>
  <c r="S67" i="77" s="1"/>
  <c r="Q67" i="77"/>
  <c r="O67" i="77"/>
  <c r="M67" i="77"/>
  <c r="K67" i="77"/>
  <c r="I67" i="77"/>
  <c r="G67" i="77"/>
  <c r="E67" i="77"/>
  <c r="C67" i="77"/>
  <c r="R66" i="77"/>
  <c r="S66" i="77" s="1"/>
  <c r="Q66" i="77"/>
  <c r="O66" i="77"/>
  <c r="M66" i="77"/>
  <c r="K66" i="77"/>
  <c r="I66" i="77"/>
  <c r="G66" i="77"/>
  <c r="E66" i="77"/>
  <c r="C66" i="77"/>
  <c r="R65" i="77"/>
  <c r="S65" i="77" s="1"/>
  <c r="Q65" i="77"/>
  <c r="O65" i="77"/>
  <c r="M65" i="77"/>
  <c r="K65" i="77"/>
  <c r="I65" i="77"/>
  <c r="G65" i="77"/>
  <c r="E65" i="77"/>
  <c r="C65" i="77"/>
  <c r="R64" i="77"/>
  <c r="S64" i="77" s="1"/>
  <c r="Q64" i="77"/>
  <c r="O64" i="77"/>
  <c r="M64" i="77"/>
  <c r="K64" i="77"/>
  <c r="I64" i="77"/>
  <c r="G64" i="77"/>
  <c r="E64" i="77"/>
  <c r="C64" i="77"/>
  <c r="R63" i="77"/>
  <c r="S63" i="77" s="1"/>
  <c r="Q63" i="77"/>
  <c r="O63" i="77"/>
  <c r="M63" i="77"/>
  <c r="K63" i="77"/>
  <c r="I63" i="77"/>
  <c r="G63" i="77"/>
  <c r="E63" i="77"/>
  <c r="C63" i="77"/>
  <c r="R62" i="77"/>
  <c r="S62" i="77" s="1"/>
  <c r="Q62" i="77"/>
  <c r="O62" i="77"/>
  <c r="M62" i="77"/>
  <c r="K62" i="77"/>
  <c r="I62" i="77"/>
  <c r="G62" i="77"/>
  <c r="E62" i="77"/>
  <c r="C62" i="77"/>
  <c r="R61" i="77"/>
  <c r="S61" i="77" s="1"/>
  <c r="Q61" i="77"/>
  <c r="O61" i="77"/>
  <c r="M61" i="77"/>
  <c r="K61" i="77"/>
  <c r="I61" i="77"/>
  <c r="G61" i="77"/>
  <c r="E61" i="77"/>
  <c r="C61" i="77"/>
  <c r="R60" i="77"/>
  <c r="S60" i="77" s="1"/>
  <c r="Q60" i="77"/>
  <c r="O60" i="77"/>
  <c r="M60" i="77"/>
  <c r="K60" i="77"/>
  <c r="I60" i="77"/>
  <c r="G60" i="77"/>
  <c r="E60" i="77"/>
  <c r="C60" i="77"/>
  <c r="R59" i="77"/>
  <c r="S59" i="77" s="1"/>
  <c r="Q59" i="77"/>
  <c r="O59" i="77"/>
  <c r="M59" i="77"/>
  <c r="K59" i="77"/>
  <c r="I59" i="77"/>
  <c r="G59" i="77"/>
  <c r="E59" i="77"/>
  <c r="C59" i="77"/>
  <c r="R58" i="77"/>
  <c r="S58" i="77" s="1"/>
  <c r="Q58" i="77"/>
  <c r="O58" i="77"/>
  <c r="M58" i="77"/>
  <c r="K58" i="77"/>
  <c r="I58" i="77"/>
  <c r="G58" i="77"/>
  <c r="E58" i="77"/>
  <c r="C58" i="77"/>
  <c r="R57" i="77"/>
  <c r="S57" i="77" s="1"/>
  <c r="Q57" i="77"/>
  <c r="O57" i="77"/>
  <c r="M57" i="77"/>
  <c r="K57" i="77"/>
  <c r="I57" i="77"/>
  <c r="G57" i="77"/>
  <c r="E57" i="77"/>
  <c r="C57" i="77"/>
  <c r="R56" i="77"/>
  <c r="S56" i="77" s="1"/>
  <c r="Q56" i="77"/>
  <c r="O56" i="77"/>
  <c r="M56" i="77"/>
  <c r="K56" i="77"/>
  <c r="I56" i="77"/>
  <c r="G56" i="77"/>
  <c r="E56" i="77"/>
  <c r="C56" i="77"/>
  <c r="R55" i="77"/>
  <c r="S55" i="77" s="1"/>
  <c r="Q55" i="77"/>
  <c r="O55" i="77"/>
  <c r="M55" i="77"/>
  <c r="K55" i="77"/>
  <c r="I55" i="77"/>
  <c r="G55" i="77"/>
  <c r="E55" i="77"/>
  <c r="C55" i="77"/>
  <c r="R54" i="77"/>
  <c r="S54" i="77" s="1"/>
  <c r="Q54" i="77"/>
  <c r="O54" i="77"/>
  <c r="M54" i="77"/>
  <c r="K54" i="77"/>
  <c r="I54" i="77"/>
  <c r="G54" i="77"/>
  <c r="E54" i="77"/>
  <c r="C54" i="77"/>
  <c r="R53" i="77"/>
  <c r="S53" i="77" s="1"/>
  <c r="Q53" i="77"/>
  <c r="O53" i="77"/>
  <c r="M53" i="77"/>
  <c r="K53" i="77"/>
  <c r="I53" i="77"/>
  <c r="G53" i="77"/>
  <c r="E53" i="77"/>
  <c r="C53" i="77"/>
  <c r="R52" i="77"/>
  <c r="S52" i="77" s="1"/>
  <c r="Q52" i="77"/>
  <c r="O52" i="77"/>
  <c r="M52" i="77"/>
  <c r="K52" i="77"/>
  <c r="I52" i="77"/>
  <c r="G52" i="77"/>
  <c r="E52" i="77"/>
  <c r="C52" i="77"/>
  <c r="R51" i="77"/>
  <c r="S51" i="77" s="1"/>
  <c r="Q51" i="77"/>
  <c r="O51" i="77"/>
  <c r="M51" i="77"/>
  <c r="K51" i="77"/>
  <c r="I51" i="77"/>
  <c r="G51" i="77"/>
  <c r="E51" i="77"/>
  <c r="C51" i="77"/>
  <c r="R50" i="77"/>
  <c r="S50" i="77" s="1"/>
  <c r="Q50" i="77"/>
  <c r="O50" i="77"/>
  <c r="M50" i="77"/>
  <c r="K50" i="77"/>
  <c r="I50" i="77"/>
  <c r="G50" i="77"/>
  <c r="E50" i="77"/>
  <c r="C50" i="77"/>
  <c r="R49" i="77"/>
  <c r="S49" i="77" s="1"/>
  <c r="Q49" i="77"/>
  <c r="O49" i="77"/>
  <c r="M49" i="77"/>
  <c r="K49" i="77"/>
  <c r="I49" i="77"/>
  <c r="G49" i="77"/>
  <c r="E49" i="77"/>
  <c r="C49" i="77"/>
  <c r="R48" i="77"/>
  <c r="S48" i="77" s="1"/>
  <c r="Q48" i="77"/>
  <c r="O48" i="77"/>
  <c r="M48" i="77"/>
  <c r="K48" i="77"/>
  <c r="I48" i="77"/>
  <c r="G48" i="77"/>
  <c r="E48" i="77"/>
  <c r="C48" i="77"/>
  <c r="Q47" i="77"/>
  <c r="O47" i="77"/>
  <c r="M47" i="77"/>
  <c r="K47" i="77"/>
  <c r="I47" i="77"/>
  <c r="G47" i="77"/>
  <c r="E47" i="77"/>
  <c r="C47" i="77"/>
  <c r="Q46" i="77"/>
  <c r="O46" i="77"/>
  <c r="M46" i="77"/>
  <c r="K46" i="77"/>
  <c r="I46" i="77"/>
  <c r="G46" i="77"/>
  <c r="E46" i="77"/>
  <c r="C46" i="77"/>
  <c r="Q45" i="77"/>
  <c r="O45" i="77"/>
  <c r="M45" i="77"/>
  <c r="K45" i="77"/>
  <c r="I45" i="77"/>
  <c r="G45" i="77"/>
  <c r="E45" i="77"/>
  <c r="C45" i="77"/>
  <c r="Q44" i="77"/>
  <c r="O44" i="77"/>
  <c r="M44" i="77"/>
  <c r="K44" i="77"/>
  <c r="I44" i="77"/>
  <c r="G44" i="77"/>
  <c r="E44" i="77"/>
  <c r="C44" i="77"/>
  <c r="Q43" i="77"/>
  <c r="O43" i="77"/>
  <c r="M43" i="77"/>
  <c r="K43" i="77"/>
  <c r="I43" i="77"/>
  <c r="G43" i="77"/>
  <c r="E43" i="77"/>
  <c r="C43" i="77"/>
  <c r="Q42" i="77"/>
  <c r="O42" i="77"/>
  <c r="M42" i="77"/>
  <c r="K42" i="77"/>
  <c r="I42" i="77"/>
  <c r="G42" i="77"/>
  <c r="E42" i="77"/>
  <c r="C42" i="77"/>
  <c r="Q41" i="77"/>
  <c r="O41" i="77"/>
  <c r="M41" i="77"/>
  <c r="K41" i="77"/>
  <c r="I41" i="77"/>
  <c r="G41" i="77"/>
  <c r="E41" i="77"/>
  <c r="C41" i="77"/>
  <c r="Q40" i="77"/>
  <c r="O40" i="77"/>
  <c r="M40" i="77"/>
  <c r="K40" i="77"/>
  <c r="I40" i="77"/>
  <c r="G40" i="77"/>
  <c r="E40" i="77"/>
  <c r="C40" i="77"/>
  <c r="Q39" i="77"/>
  <c r="O39" i="77"/>
  <c r="M39" i="77"/>
  <c r="K39" i="77"/>
  <c r="I39" i="77"/>
  <c r="G39" i="77"/>
  <c r="E39" i="77"/>
  <c r="C39" i="77"/>
  <c r="Q38" i="77"/>
  <c r="O38" i="77"/>
  <c r="M38" i="77"/>
  <c r="K38" i="77"/>
  <c r="I38" i="77"/>
  <c r="G38" i="77"/>
  <c r="E38" i="77"/>
  <c r="C38" i="77"/>
  <c r="Q37" i="77"/>
  <c r="O37" i="77"/>
  <c r="M37" i="77"/>
  <c r="K37" i="77"/>
  <c r="I37" i="77"/>
  <c r="G37" i="77"/>
  <c r="E37" i="77"/>
  <c r="C37" i="77"/>
  <c r="Q36" i="77"/>
  <c r="O36" i="77"/>
  <c r="M36" i="77"/>
  <c r="K36" i="77"/>
  <c r="I36" i="77"/>
  <c r="G36" i="77"/>
  <c r="E36" i="77"/>
  <c r="C36" i="77"/>
  <c r="Q35" i="77"/>
  <c r="O35" i="77"/>
  <c r="M35" i="77"/>
  <c r="K35" i="77"/>
  <c r="I35" i="77"/>
  <c r="G35" i="77"/>
  <c r="E35" i="77"/>
  <c r="C35" i="77"/>
  <c r="Q34" i="77"/>
  <c r="O34" i="77"/>
  <c r="M34" i="77"/>
  <c r="K34" i="77"/>
  <c r="I34" i="77"/>
  <c r="G34" i="77"/>
  <c r="E34" i="77"/>
  <c r="C34" i="77"/>
  <c r="Q33" i="77"/>
  <c r="O33" i="77"/>
  <c r="M33" i="77"/>
  <c r="K33" i="77"/>
  <c r="I33" i="77"/>
  <c r="G33" i="77"/>
  <c r="E33" i="77"/>
  <c r="C33" i="77"/>
  <c r="Q32" i="77"/>
  <c r="O32" i="77"/>
  <c r="M32" i="77"/>
  <c r="K32" i="77"/>
  <c r="I32" i="77"/>
  <c r="G32" i="77"/>
  <c r="E32" i="77"/>
  <c r="C32" i="77"/>
  <c r="Q31" i="77"/>
  <c r="O31" i="77"/>
  <c r="M31" i="77"/>
  <c r="K31" i="77"/>
  <c r="I31" i="77"/>
  <c r="G31" i="77"/>
  <c r="E31" i="77"/>
  <c r="C31" i="77"/>
  <c r="Q30" i="77"/>
  <c r="O30" i="77"/>
  <c r="M30" i="77"/>
  <c r="K30" i="77"/>
  <c r="I30" i="77"/>
  <c r="G30" i="77"/>
  <c r="E30" i="77"/>
  <c r="C30" i="77"/>
  <c r="Q29" i="77"/>
  <c r="O29" i="77"/>
  <c r="M29" i="77"/>
  <c r="K29" i="77"/>
  <c r="I29" i="77"/>
  <c r="G29" i="77"/>
  <c r="E29" i="77"/>
  <c r="C29" i="77"/>
  <c r="Q28" i="77"/>
  <c r="O28" i="77"/>
  <c r="M28" i="77"/>
  <c r="K28" i="77"/>
  <c r="I28" i="77"/>
  <c r="G28" i="77"/>
  <c r="E28" i="77"/>
  <c r="C28" i="77"/>
  <c r="Q27" i="77"/>
  <c r="O27" i="77"/>
  <c r="M27" i="77"/>
  <c r="K27" i="77"/>
  <c r="I27" i="77"/>
  <c r="G27" i="77"/>
  <c r="E27" i="77"/>
  <c r="C27" i="77"/>
  <c r="Q26" i="77"/>
  <c r="O26" i="77"/>
  <c r="M26" i="77"/>
  <c r="K26" i="77"/>
  <c r="I26" i="77"/>
  <c r="G26" i="77"/>
  <c r="E26" i="77"/>
  <c r="C26" i="77"/>
  <c r="Q25" i="77"/>
  <c r="O25" i="77"/>
  <c r="M25" i="77"/>
  <c r="K25" i="77"/>
  <c r="I25" i="77"/>
  <c r="G25" i="77"/>
  <c r="E25" i="77"/>
  <c r="P23" i="77"/>
  <c r="N23" i="77"/>
  <c r="L23" i="77"/>
  <c r="J23" i="77"/>
  <c r="H23" i="77"/>
  <c r="F23" i="77"/>
  <c r="D23" i="77"/>
  <c r="E12" i="77"/>
  <c r="F12" i="77" s="1"/>
  <c r="G12" i="77" s="1"/>
  <c r="H12" i="77" s="1"/>
  <c r="I12" i="77" s="1"/>
  <c r="J12" i="77" s="1"/>
  <c r="K12" i="77" s="1"/>
  <c r="L12" i="77" s="1"/>
  <c r="M12" i="77" s="1"/>
  <c r="N12" i="77" s="1"/>
  <c r="O12" i="77" s="1"/>
  <c r="P12" i="77" s="1"/>
  <c r="Q12" i="77" s="1"/>
  <c r="R12" i="77" s="1"/>
  <c r="S12" i="77" s="1"/>
  <c r="D12" i="77"/>
  <c r="E10" i="77"/>
  <c r="F10" i="77" s="1"/>
  <c r="G10" i="77" s="1"/>
  <c r="H10" i="77" s="1"/>
  <c r="I10" i="77" s="1"/>
  <c r="J10" i="77" s="1"/>
  <c r="K10" i="77" s="1"/>
  <c r="L10" i="77" s="1"/>
  <c r="M10" i="77" s="1"/>
  <c r="N10" i="77" s="1"/>
  <c r="O10" i="77" s="1"/>
  <c r="P10" i="77" s="1"/>
  <c r="Q10" i="77" s="1"/>
  <c r="R10" i="77" s="1"/>
  <c r="S10" i="77" s="1"/>
  <c r="D10" i="77"/>
  <c r="E8" i="77"/>
  <c r="F8" i="77" s="1"/>
  <c r="G8" i="77" s="1"/>
  <c r="H8" i="77" s="1"/>
  <c r="I8" i="77" s="1"/>
  <c r="J8" i="77" s="1"/>
  <c r="K8" i="77" s="1"/>
  <c r="L8" i="77" s="1"/>
  <c r="M8" i="77" s="1"/>
  <c r="N8" i="77" s="1"/>
  <c r="O8" i="77" s="1"/>
  <c r="P8" i="77" s="1"/>
  <c r="Q8" i="77" s="1"/>
  <c r="R8" i="77" s="1"/>
  <c r="S8" i="77" s="1"/>
  <c r="D8" i="77"/>
  <c r="E6" i="77"/>
  <c r="F6" i="77" s="1"/>
  <c r="G6" i="77" s="1"/>
  <c r="H6" i="77" s="1"/>
  <c r="I6" i="77" s="1"/>
  <c r="J6" i="77" s="1"/>
  <c r="K6" i="77" s="1"/>
  <c r="L6" i="77" s="1"/>
  <c r="M6" i="77" s="1"/>
  <c r="N6" i="77" s="1"/>
  <c r="O6" i="77" s="1"/>
  <c r="P6" i="77" s="1"/>
  <c r="Q6" i="77" s="1"/>
  <c r="R6" i="77" s="1"/>
  <c r="S6" i="77" s="1"/>
  <c r="D6" i="77"/>
  <c r="S2" i="77"/>
  <c r="R2" i="77"/>
  <c r="Q2" i="77"/>
  <c r="P2" i="77"/>
  <c r="O2" i="77"/>
  <c r="N2" i="77"/>
  <c r="M2" i="77"/>
  <c r="L2" i="77"/>
  <c r="K2" i="77"/>
  <c r="J2" i="77"/>
  <c r="I2" i="77"/>
  <c r="H2" i="77"/>
  <c r="G2" i="77"/>
  <c r="F2" i="77"/>
  <c r="E2" i="77"/>
  <c r="D2" i="77"/>
  <c r="C2" i="77"/>
  <c r="U10" i="1"/>
  <c r="N7" i="1"/>
  <c r="N8" i="1"/>
  <c r="N9" i="1"/>
  <c r="N10" i="1"/>
  <c r="N6" i="1"/>
  <c r="G23" i="6"/>
  <c r="G22" i="6"/>
  <c r="C31" i="35" s="1"/>
  <c r="F21" i="6"/>
  <c r="B25" i="31" s="1"/>
  <c r="F20" i="6"/>
  <c r="B16" i="74" s="1"/>
  <c r="F19" i="6"/>
  <c r="C23" i="6"/>
  <c r="C22" i="6"/>
  <c r="C21" i="6"/>
  <c r="C20" i="6"/>
  <c r="C19" i="6"/>
  <c r="D3" i="4"/>
  <c r="D34" i="84"/>
  <c r="D35" i="84"/>
  <c r="C76" i="79"/>
  <c r="D35" i="83"/>
  <c r="C76" i="78"/>
  <c r="F20" i="77"/>
  <c r="D34" i="83"/>
  <c r="B17" i="74" l="1"/>
  <c r="B18" i="74"/>
  <c r="B22" i="77"/>
  <c r="C25" i="77"/>
  <c r="B24" i="31"/>
  <c r="C18" i="84"/>
  <c r="D18" i="84" s="1"/>
  <c r="K120" i="84"/>
  <c r="D121" i="84"/>
  <c r="C92" i="84"/>
  <c r="C94" i="84"/>
  <c r="H112" i="84"/>
  <c r="C18" i="83"/>
  <c r="D18" i="83" s="1"/>
  <c r="K120" i="83"/>
  <c r="D121" i="83"/>
  <c r="C92" i="83"/>
  <c r="C94" i="83"/>
  <c r="H112" i="83"/>
  <c r="Q71" i="79"/>
  <c r="D24" i="79"/>
  <c r="P61" i="79"/>
  <c r="D22" i="79"/>
  <c r="J51" i="79"/>
  <c r="Q71" i="78"/>
  <c r="D24" i="78"/>
  <c r="P61" i="78"/>
  <c r="D22" i="78"/>
  <c r="J51" i="78"/>
  <c r="AH5" i="71"/>
  <c r="AG5" i="71"/>
  <c r="AE5" i="71"/>
  <c r="AF5" i="71" s="1"/>
  <c r="AD5" i="71"/>
  <c r="Q5" i="71"/>
  <c r="Q6" i="71"/>
  <c r="Q7" i="71"/>
  <c r="P5" i="71"/>
  <c r="P6" i="71"/>
  <c r="P7" i="71"/>
  <c r="O5" i="71"/>
  <c r="O6" i="71"/>
  <c r="O7" i="71"/>
  <c r="N5" i="71"/>
  <c r="N6" i="71"/>
  <c r="N7"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s="1"/>
  <c r="E74" i="7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c r="F52" i="71" s="1"/>
  <c r="V52" i="71" s="1"/>
  <c r="P49" i="71"/>
  <c r="E50" i="71"/>
  <c r="O49" i="71"/>
  <c r="C50" i="71"/>
  <c r="N49" i="71"/>
  <c r="B50" i="71"/>
  <c r="B51" i="71" s="1"/>
  <c r="B52" i="71"/>
  <c r="S52" i="71" s="1"/>
  <c r="D49" i="71"/>
  <c r="Q48" i="71"/>
  <c r="P48" i="71"/>
  <c r="O48" i="71"/>
  <c r="N48" i="71"/>
  <c r="Q47" i="71"/>
  <c r="P47" i="71"/>
  <c r="O47" i="71"/>
  <c r="N47" i="71"/>
  <c r="Q46" i="71"/>
  <c r="P46" i="71"/>
  <c r="O46" i="71"/>
  <c r="N46" i="71"/>
  <c r="Q45" i="71"/>
  <c r="F46" i="71"/>
  <c r="F47" i="71" s="1"/>
  <c r="F48" i="7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X17" i="71" s="1"/>
  <c r="Q18" i="71"/>
  <c r="AB18" i="71"/>
  <c r="P18" i="71"/>
  <c r="O18" i="71"/>
  <c r="Y18" i="71" s="1"/>
  <c r="Z18" i="71" s="1"/>
  <c r="N18" i="71"/>
  <c r="Q17" i="71"/>
  <c r="F18" i="71" s="1"/>
  <c r="F19" i="71" s="1"/>
  <c r="F20" i="71" s="1"/>
  <c r="V20" i="71" s="1"/>
  <c r="P17" i="71"/>
  <c r="O17" i="71"/>
  <c r="Y17" i="71" s="1"/>
  <c r="Z17" i="71" s="1"/>
  <c r="N17" i="71"/>
  <c r="D17" i="71"/>
  <c r="O16" i="71"/>
  <c r="N16" i="71"/>
  <c r="B18" i="71"/>
  <c r="B19" i="71"/>
  <c r="B20" i="71" s="1"/>
  <c r="S20" i="71" s="1"/>
  <c r="E18" i="71"/>
  <c r="E19" i="71" s="1"/>
  <c r="E20" i="71" s="1"/>
  <c r="U20" i="71" s="1"/>
  <c r="AA17" i="71"/>
  <c r="B22" i="71"/>
  <c r="B23" i="71"/>
  <c r="B24" i="71" s="1"/>
  <c r="S24" i="71" s="1"/>
  <c r="X21" i="71"/>
  <c r="B26" i="71"/>
  <c r="B27" i="71" s="1"/>
  <c r="B28" i="71" s="1"/>
  <c r="S28" i="71" s="1"/>
  <c r="X25" i="71"/>
  <c r="E26" i="71"/>
  <c r="E27" i="71"/>
  <c r="E28" i="71" s="1"/>
  <c r="U28" i="71" s="1"/>
  <c r="AA25" i="71"/>
  <c r="N56" i="71"/>
  <c r="E22" i="71"/>
  <c r="E23" i="71"/>
  <c r="E24" i="71" s="1"/>
  <c r="U24" i="71" s="1"/>
  <c r="AA21" i="71"/>
  <c r="C18" i="71"/>
  <c r="AB17" i="71"/>
  <c r="X18" i="71"/>
  <c r="AA18" i="71"/>
  <c r="X19" i="71"/>
  <c r="AA19" i="71"/>
  <c r="X20" i="71"/>
  <c r="AA20" i="71"/>
  <c r="C22" i="71"/>
  <c r="C23" i="71" s="1"/>
  <c r="C24"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s="1"/>
  <c r="B16" i="71"/>
  <c r="B15" i="71" s="1"/>
  <c r="B14" i="71" s="1"/>
  <c r="X13" i="71"/>
  <c r="X14" i="71"/>
  <c r="X15" i="71"/>
  <c r="X16" i="71"/>
  <c r="C19" i="71"/>
  <c r="D18" i="71"/>
  <c r="D22" i="71"/>
  <c r="C27" i="71"/>
  <c r="D26" i="71"/>
  <c r="P16" i="71"/>
  <c r="E51" i="71"/>
  <c r="E52" i="71" s="1"/>
  <c r="U52" i="71" s="1"/>
  <c r="U56" i="71"/>
  <c r="E55" i="71"/>
  <c r="Q16" i="71"/>
  <c r="C51" i="71"/>
  <c r="D50" i="71"/>
  <c r="N55" i="71"/>
  <c r="B54"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c r="C54" i="71"/>
  <c r="O55" i="71"/>
  <c r="D55" i="71"/>
  <c r="C52" i="71"/>
  <c r="D51" i="71"/>
  <c r="D71" i="71"/>
  <c r="C70" i="71"/>
  <c r="D70" i="71"/>
  <c r="D63" i="71"/>
  <c r="C62" i="71"/>
  <c r="D62" i="71" s="1"/>
  <c r="N53" i="71"/>
  <c r="N54" i="71"/>
  <c r="D75" i="71"/>
  <c r="C74" i="71"/>
  <c r="D74" i="71"/>
  <c r="D67" i="71"/>
  <c r="C66" i="71"/>
  <c r="D66" i="71" s="1"/>
  <c r="D59" i="71"/>
  <c r="C58" i="71"/>
  <c r="D58" i="71"/>
  <c r="P55" i="71"/>
  <c r="E54" i="71"/>
  <c r="C28" i="71"/>
  <c r="D27" i="71"/>
  <c r="D23" i="71"/>
  <c r="C20" i="71"/>
  <c r="D19" i="71"/>
  <c r="C14" i="71"/>
  <c r="D14" i="71"/>
  <c r="D15" i="71"/>
  <c r="V16" i="71"/>
  <c r="P53" i="71"/>
  <c r="P54" i="71"/>
  <c r="O54" i="71"/>
  <c r="D54" i="71"/>
  <c r="O53" i="71"/>
  <c r="T20" i="71"/>
  <c r="D20" i="71"/>
  <c r="T24" i="71"/>
  <c r="D24" i="71"/>
  <c r="T28" i="71"/>
  <c r="D2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H25" i="40"/>
  <c r="J25" i="40"/>
  <c r="H29" i="39"/>
  <c r="AB29" i="39" s="1"/>
  <c r="J29" i="39"/>
  <c r="AC29" i="39" s="1"/>
  <c r="J18" i="36"/>
  <c r="AC18" i="36" s="1"/>
  <c r="H18" i="35"/>
  <c r="AB18" i="35" s="1"/>
  <c r="J18" i="35"/>
  <c r="W18" i="35" s="1"/>
  <c r="F77" i="37"/>
  <c r="G77" i="37" s="1"/>
  <c r="H21" i="37"/>
  <c r="F21" i="37"/>
  <c r="AA21" i="37" s="1"/>
  <c r="H21" i="34"/>
  <c r="AB21" i="34" s="1"/>
  <c r="H21" i="33"/>
  <c r="U21" i="33" s="1"/>
  <c r="F21" i="33"/>
  <c r="S21" i="33" s="1"/>
  <c r="E83" i="21"/>
  <c r="F83" i="21" s="1"/>
  <c r="G83" i="21" s="1"/>
  <c r="S21" i="21"/>
  <c r="H1" i="69"/>
  <c r="AC25" i="40"/>
  <c r="W25" i="40"/>
  <c r="AB25" i="40"/>
  <c r="U25" i="40"/>
  <c r="U29" i="39"/>
  <c r="W29" i="39"/>
  <c r="W18" i="36"/>
  <c r="AB21" i="37"/>
  <c r="U21" i="37"/>
  <c r="S21" i="37"/>
  <c r="AA21" i="33"/>
  <c r="J21" i="37"/>
  <c r="AC21" i="37" s="1"/>
  <c r="J21" i="34"/>
  <c r="AC21" i="34" s="1"/>
  <c r="J21" i="33"/>
  <c r="AC21" i="33" s="1"/>
  <c r="H21" i="21"/>
  <c r="AB21" i="21" s="1"/>
  <c r="F38" i="69"/>
  <c r="E37" i="69"/>
  <c r="F36" i="69"/>
  <c r="F35" i="69"/>
  <c r="F21" i="69"/>
  <c r="C21" i="69" s="1"/>
  <c r="F20" i="69"/>
  <c r="E10" i="69"/>
  <c r="E9" i="69"/>
  <c r="C7" i="69"/>
  <c r="W21" i="37"/>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M18" i="83" s="1"/>
  <c r="B118" i="83" s="1"/>
  <c r="E21" i="6"/>
  <c r="K8" i="1" s="1"/>
  <c r="M8" i="1" s="1"/>
  <c r="F23" i="15"/>
  <c r="D24" i="15" s="1"/>
  <c r="M13" i="1"/>
  <c r="O13" i="1" s="1"/>
  <c r="P13" i="1" s="1"/>
  <c r="E22" i="6"/>
  <c r="M18" i="84" s="1"/>
  <c r="B118" i="84"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22" i="35"/>
  <c r="S31" i="35"/>
  <c r="F36" i="34"/>
  <c r="J35" i="34"/>
  <c r="S34" i="34"/>
  <c r="U34" i="34"/>
  <c r="H39" i="33"/>
  <c r="AB39" i="33" s="1"/>
  <c r="F26" i="33"/>
  <c r="AA26" i="33" s="1"/>
  <c r="S9"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F29" i="35"/>
  <c r="S29" i="35" s="1"/>
  <c r="H29" i="35"/>
  <c r="AB29" i="35" s="1"/>
  <c r="H33" i="37"/>
  <c r="AB33" i="37"/>
  <c r="F33" i="37"/>
  <c r="AA33" i="37"/>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45" i="33"/>
  <c r="W44" i="33"/>
  <c r="U11" i="33"/>
  <c r="U19" i="21"/>
  <c r="W44" i="21"/>
  <c r="U26" i="21"/>
  <c r="AC46" i="21"/>
  <c r="U12" i="21"/>
  <c r="AB38" i="21"/>
  <c r="F43" i="33"/>
  <c r="AA43" i="33" s="1"/>
  <c r="W15" i="34"/>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AZ499" i="3"/>
  <c r="AZ509" i="3"/>
  <c r="G509" i="3"/>
  <c r="BL493" i="3"/>
  <c r="AZ493" i="3" s="1"/>
  <c r="AZ491" i="3"/>
  <c r="AZ376" i="3"/>
  <c r="AZ382" i="3"/>
  <c r="U36" i="40"/>
  <c r="F81" i="43"/>
  <c r="H83" i="43" s="1"/>
  <c r="F48" i="43"/>
  <c r="H52" i="43" s="1"/>
  <c r="F70" i="43"/>
  <c r="H73" i="43" s="1"/>
  <c r="M11" i="43"/>
  <c r="F39" i="43"/>
  <c r="F35" i="43"/>
  <c r="F6" i="1"/>
  <c r="U17" i="39"/>
  <c r="U43" i="21"/>
  <c r="U35" i="21"/>
  <c r="AC35" i="21"/>
  <c r="U10" i="21"/>
  <c r="G8" i="1"/>
  <c r="G10" i="1"/>
  <c r="F48" i="9"/>
  <c r="O52" i="9" s="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B10" i="1"/>
  <c r="E10" i="1" s="1"/>
  <c r="D1" i="66"/>
  <c r="E10" i="66" s="1"/>
  <c r="AZ80" i="3"/>
  <c r="AZ84" i="3"/>
  <c r="AZ88" i="3"/>
  <c r="AZ107" i="3"/>
  <c r="AZ111" i="3"/>
  <c r="K12" i="1"/>
  <c r="M12" i="1" s="1"/>
  <c r="O12" i="1" s="1"/>
  <c r="P12" i="1" s="1"/>
  <c r="S13" i="1"/>
  <c r="AR13" i="1" s="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AC20" i="35"/>
  <c r="S22" i="35"/>
  <c r="AA11" i="35"/>
  <c r="S8" i="35"/>
  <c r="W9" i="35"/>
  <c r="AC12" i="35"/>
  <c r="W13" i="35"/>
  <c r="F9" i="35"/>
  <c r="H9" i="35"/>
  <c r="AB9" i="35" s="1"/>
  <c r="F26" i="35"/>
  <c r="AA26" i="35" s="1"/>
  <c r="J26" i="35"/>
  <c r="W26" i="35" s="1"/>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S43" i="34"/>
  <c r="AB41" i="34"/>
  <c r="AA45" i="34"/>
  <c r="W34" i="34"/>
  <c r="S17" i="34"/>
  <c r="AA29" i="34"/>
  <c r="U27" i="34"/>
  <c r="S10" i="34"/>
  <c r="S13" i="34"/>
  <c r="H10" i="34"/>
  <c r="AB10" i="34" s="1"/>
  <c r="F11" i="34"/>
  <c r="S11" i="34" s="1"/>
  <c r="W42" i="33"/>
  <c r="S27" i="33"/>
  <c r="AA29" i="33"/>
  <c r="AB29" i="33"/>
  <c r="W38" i="33"/>
  <c r="H41" i="33"/>
  <c r="U41" i="33" s="1"/>
  <c r="F36" i="33"/>
  <c r="J35" i="33"/>
  <c r="AC35" i="33" s="1"/>
  <c r="S37" i="33"/>
  <c r="AA37" i="33"/>
  <c r="S39" i="33"/>
  <c r="J32" i="33"/>
  <c r="W32" i="33" s="1"/>
  <c r="S46" i="33"/>
  <c r="W43" i="33"/>
  <c r="H27" i="33"/>
  <c r="H25" i="33"/>
  <c r="U25" i="33" s="1"/>
  <c r="F25" i="33"/>
  <c r="AA25" i="33" s="1"/>
  <c r="J23" i="33"/>
  <c r="AC23" i="33" s="1"/>
  <c r="H23" i="33"/>
  <c r="F19" i="33"/>
  <c r="S19" i="33" s="1"/>
  <c r="J17" i="33"/>
  <c r="W17" i="33" s="1"/>
  <c r="F79" i="33"/>
  <c r="W15" i="33"/>
  <c r="U9" i="33"/>
  <c r="J10" i="33"/>
  <c r="AC10" i="33" s="1"/>
  <c r="H10" i="33"/>
  <c r="AB10" i="33" s="1"/>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78" i="43"/>
  <c r="C17" i="43"/>
  <c r="K17" i="43"/>
  <c r="N6" i="43"/>
  <c r="N3" i="43"/>
  <c r="F59" i="43" s="1"/>
  <c r="F37" i="43"/>
  <c r="M9" i="43"/>
  <c r="N5" i="43"/>
  <c r="M12" i="43"/>
  <c r="B19" i="53"/>
  <c r="B37" i="72" s="1"/>
  <c r="C7" i="39"/>
  <c r="C68" i="39" s="1"/>
  <c r="C7" i="35"/>
  <c r="C7" i="33"/>
  <c r="C58" i="33" s="1"/>
  <c r="C7" i="21"/>
  <c r="C58" i="21"/>
  <c r="C7" i="40"/>
  <c r="C63" i="40"/>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C48" i="35"/>
  <c r="D48" i="35" s="1"/>
  <c r="E48" i="35" s="1"/>
  <c r="F48" i="35" s="1"/>
  <c r="G48" i="35" s="1"/>
  <c r="H48" i="35" s="1"/>
  <c r="C4" i="12"/>
  <c r="H56"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W19" i="34"/>
  <c r="AC45" i="34"/>
  <c r="AA31" i="34"/>
  <c r="AA30" i="34"/>
  <c r="AB45" i="34"/>
  <c r="AB47" i="34"/>
  <c r="U25" i="34"/>
  <c r="AB36" i="34"/>
  <c r="W33" i="34"/>
  <c r="AC14" i="34"/>
  <c r="AC32" i="34"/>
  <c r="AC29" i="34"/>
  <c r="W29" i="34"/>
  <c r="W46" i="34"/>
  <c r="AC46" i="34"/>
  <c r="S32" i="34"/>
  <c r="AA32" i="34"/>
  <c r="U30" i="34"/>
  <c r="AB30" i="34"/>
  <c r="U38" i="34"/>
  <c r="AA19" i="34"/>
  <c r="S19" i="34"/>
  <c r="AA36" i="34"/>
  <c r="S36" i="34"/>
  <c r="AA8" i="34"/>
  <c r="S8" i="34"/>
  <c r="S46" i="34"/>
  <c r="AA46" i="34"/>
  <c r="U32" i="34"/>
  <c r="AB32" i="34"/>
  <c r="U14" i="34"/>
  <c r="AB14" i="34"/>
  <c r="AC43" i="34"/>
  <c r="W43" i="34"/>
  <c r="AC23" i="34"/>
  <c r="AC35" i="34"/>
  <c r="W35" i="34"/>
  <c r="U12" i="34"/>
  <c r="AB12" i="34"/>
  <c r="AB28" i="33"/>
  <c r="W46" i="33"/>
  <c r="U38" i="33"/>
  <c r="U44" i="33"/>
  <c r="AB44" i="33"/>
  <c r="S30" i="33"/>
  <c r="AA30" i="33"/>
  <c r="AC14" i="33"/>
  <c r="W14" i="33"/>
  <c r="AC30" i="33"/>
  <c r="W30" i="33"/>
  <c r="S31" i="33"/>
  <c r="AA31" i="33"/>
  <c r="W13" i="33"/>
  <c r="AC13" i="33"/>
  <c r="S11" i="33"/>
  <c r="U37"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F30" i="11"/>
  <c r="C48" i="11"/>
  <c r="F28" i="67"/>
  <c r="F31" i="12"/>
  <c r="F52" i="9"/>
  <c r="M18" i="67"/>
  <c r="F32" i="67"/>
  <c r="F60" i="67"/>
  <c r="F30" i="69"/>
  <c r="C48" i="69"/>
  <c r="F32" i="15"/>
  <c r="F60" i="15"/>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U11" i="34" s="1"/>
  <c r="J10" i="34"/>
  <c r="AC10" i="34" s="1"/>
  <c r="AB41" i="33"/>
  <c r="H111" i="33"/>
  <c r="I111" i="33" s="1"/>
  <c r="J111" i="33" s="1"/>
  <c r="K111" i="33" s="1"/>
  <c r="L111" i="33" s="1"/>
  <c r="M111" i="33" s="1"/>
  <c r="J36" i="33"/>
  <c r="W36" i="33" s="1"/>
  <c r="H36" i="33"/>
  <c r="S36" i="33"/>
  <c r="AA36" i="33"/>
  <c r="U27" i="33"/>
  <c r="AB27" i="33"/>
  <c r="J27" i="33"/>
  <c r="AC27" i="33" s="1"/>
  <c r="AB25" i="33"/>
  <c r="S25" i="33"/>
  <c r="G87" i="33"/>
  <c r="H87" i="33"/>
  <c r="I87" i="33" s="1"/>
  <c r="J87" i="33" s="1"/>
  <c r="K87" i="33" s="1"/>
  <c r="L87" i="33" s="1"/>
  <c r="M87" i="33" s="1"/>
  <c r="J25" i="33"/>
  <c r="W25" i="33" s="1"/>
  <c r="AB23" i="33"/>
  <c r="U23" i="33"/>
  <c r="F23" i="33"/>
  <c r="S23" i="33" s="1"/>
  <c r="G85" i="33"/>
  <c r="W23" i="33"/>
  <c r="H19" i="33"/>
  <c r="AB19" i="33" s="1"/>
  <c r="G81" i="33"/>
  <c r="G79" i="33"/>
  <c r="H17" i="33"/>
  <c r="U17" i="33" s="1"/>
  <c r="F17" i="33"/>
  <c r="S17" i="33" s="1"/>
  <c r="AC17" i="33"/>
  <c r="AC37" i="21"/>
  <c r="U33" i="21"/>
  <c r="S37" i="21"/>
  <c r="AA23" i="21"/>
  <c r="AB15" i="21"/>
  <c r="J23" i="21"/>
  <c r="F85" i="21"/>
  <c r="G85" i="21"/>
  <c r="H23" i="21"/>
  <c r="S13" i="21"/>
  <c r="D6" i="52"/>
  <c r="D121" i="9"/>
  <c r="D7" i="52" s="1"/>
  <c r="K120" i="9"/>
  <c r="K14" i="1"/>
  <c r="M14" i="1" s="1"/>
  <c r="BL5" i="3"/>
  <c r="J59" i="9"/>
  <c r="J61" i="9"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AC11" i="37" s="1"/>
  <c r="W10" i="37"/>
  <c r="AC10" i="37"/>
  <c r="J11" i="34"/>
  <c r="AC11" i="34" s="1"/>
  <c r="AC36" i="33"/>
  <c r="U36" i="33"/>
  <c r="AB36" i="33"/>
  <c r="AB17" i="33"/>
  <c r="U23" i="21"/>
  <c r="AB23" i="21"/>
  <c r="AC23" i="21"/>
  <c r="W23" i="21"/>
  <c r="W11" i="37"/>
  <c r="W11" i="34"/>
  <c r="F34" i="11"/>
  <c r="F11" i="12"/>
  <c r="C23" i="12" s="1"/>
  <c r="F34" i="68"/>
  <c r="C36" i="68" s="1"/>
  <c r="AE8" i="1"/>
  <c r="AG6" i="1"/>
  <c r="H112" i="9"/>
  <c r="D21" i="53" s="1"/>
  <c r="B39" i="72" s="1"/>
  <c r="H111" i="9"/>
  <c r="D126" i="9"/>
  <c r="D19" i="53"/>
  <c r="D59" i="9"/>
  <c r="M55" i="9" s="1"/>
  <c r="B38" i="72"/>
  <c r="D20" i="53"/>
  <c r="B40" i="72" s="1"/>
  <c r="AD3" i="71"/>
  <c r="P23" i="43" s="1"/>
  <c r="B71" i="39" s="1"/>
  <c r="C65" i="40"/>
  <c r="D63" i="40"/>
  <c r="J1" i="73"/>
  <c r="C36" i="11"/>
  <c r="C13" i="12"/>
  <c r="C30" i="69"/>
  <c r="C77" i="9"/>
  <c r="C74" i="9" s="1"/>
  <c r="C28" i="67"/>
  <c r="C30" i="68"/>
  <c r="H76" i="43"/>
  <c r="M4" i="43"/>
  <c r="M5" i="43"/>
  <c r="N12" i="43"/>
  <c r="N11" i="43"/>
  <c r="M10" i="43"/>
  <c r="M2" i="43"/>
  <c r="M7" i="43"/>
  <c r="H54" i="43"/>
  <c r="N9" i="43"/>
  <c r="M8" i="43"/>
  <c r="N10" i="43"/>
  <c r="H48" i="43"/>
  <c r="M6" i="43"/>
  <c r="N7" i="43"/>
  <c r="N4" i="43"/>
  <c r="N2" i="43"/>
  <c r="H49" i="43"/>
  <c r="L17" i="43"/>
  <c r="M17" i="43"/>
  <c r="C70" i="39"/>
  <c r="D68" i="39"/>
  <c r="D58" i="21"/>
  <c r="C24" i="12"/>
  <c r="C48" i="68"/>
  <c r="AB10" i="71"/>
  <c r="X8" i="71"/>
  <c r="X7" i="71"/>
  <c r="AA8" i="71"/>
  <c r="AA7" i="71"/>
  <c r="X11" i="71"/>
  <c r="Y7" i="71"/>
  <c r="Z7" i="71" s="1"/>
  <c r="AB8" i="71"/>
  <c r="AB7" i="71"/>
  <c r="C94" i="9"/>
  <c r="C92" i="9"/>
  <c r="F9" i="71"/>
  <c r="F8" i="71" s="1"/>
  <c r="F7" i="71" s="1"/>
  <c r="F6" i="71" s="1"/>
  <c r="F5" i="71" s="1"/>
  <c r="Y8" i="71"/>
  <c r="Z8" i="71" s="1"/>
  <c r="AB3" i="71"/>
  <c r="X3" i="71"/>
  <c r="E9" i="71"/>
  <c r="E8" i="71" s="1"/>
  <c r="AF3" i="71"/>
  <c r="P24" i="43"/>
  <c r="B66" i="40" s="1"/>
  <c r="P21" i="43"/>
  <c r="P22" i="43"/>
  <c r="D65" i="40"/>
  <c r="E63" i="40"/>
  <c r="E58" i="21"/>
  <c r="F58" i="21" s="1"/>
  <c r="D70" i="39"/>
  <c r="E68" i="39"/>
  <c r="E65" i="40"/>
  <c r="F63" i="40"/>
  <c r="G63" i="40" s="1"/>
  <c r="F68" i="39"/>
  <c r="F70" i="39" s="1"/>
  <c r="E70" i="39"/>
  <c r="F65" i="40"/>
  <c r="G68" i="39"/>
  <c r="H68" i="39" s="1"/>
  <c r="G70" i="39"/>
  <c r="F31" i="15"/>
  <c r="F31" i="67"/>
  <c r="U32" i="33" l="1"/>
  <c r="D59" i="43"/>
  <c r="D65" i="43"/>
  <c r="D63" i="43"/>
  <c r="D61" i="43"/>
  <c r="D66" i="43"/>
  <c r="D64" i="43"/>
  <c r="D62" i="43"/>
  <c r="D60" i="43"/>
  <c r="E59" i="43"/>
  <c r="B57" i="43" s="1"/>
  <c r="C24" i="43" s="1"/>
  <c r="H62" i="43"/>
  <c r="H66" i="43"/>
  <c r="H64" i="43"/>
  <c r="H59" i="43"/>
  <c r="H61" i="43"/>
  <c r="H65" i="43"/>
  <c r="H63" i="43"/>
  <c r="H67" i="43"/>
  <c r="H60" i="43"/>
  <c r="E17" i="43"/>
  <c r="O17" i="43"/>
  <c r="N17" i="43"/>
  <c r="H74" i="43"/>
  <c r="H70" i="43"/>
  <c r="H51" i="43"/>
  <c r="H77" i="43"/>
  <c r="H72" i="43"/>
  <c r="H55" i="43"/>
  <c r="F38" i="43"/>
  <c r="C6" i="43"/>
  <c r="F34" i="43"/>
  <c r="F33" i="43"/>
  <c r="H71" i="43"/>
  <c r="H53" i="43"/>
  <c r="H84" i="43"/>
  <c r="H85" i="43"/>
  <c r="H17" i="43"/>
  <c r="H75" i="43"/>
  <c r="J17" i="43"/>
  <c r="I17" i="43"/>
  <c r="D17" i="43"/>
  <c r="H113" i="43"/>
  <c r="F36" i="43"/>
  <c r="B13" i="49"/>
  <c r="C4" i="4" s="1"/>
  <c r="B4" i="62" s="1"/>
  <c r="B71" i="72" s="1"/>
  <c r="E8" i="6"/>
  <c r="E51" i="40" s="1"/>
  <c r="S33" i="33"/>
  <c r="F27" i="6"/>
  <c r="E56" i="39"/>
  <c r="AQ12" i="1"/>
  <c r="T12" i="1"/>
  <c r="BA5" i="3"/>
  <c r="E27" i="6" s="1"/>
  <c r="K20" i="6" s="1"/>
  <c r="S7" i="1" s="1"/>
  <c r="AQ7" i="1" s="1"/>
  <c r="E59" i="40"/>
  <c r="S15" i="33"/>
  <c r="W25" i="34"/>
  <c r="AA25" i="34"/>
  <c r="W21" i="34"/>
  <c r="S27" i="34"/>
  <c r="B16" i="49"/>
  <c r="W10" i="33"/>
  <c r="E8" i="49"/>
  <c r="B22" i="49"/>
  <c r="E21" i="49"/>
  <c r="E16" i="49"/>
  <c r="AC26" i="35"/>
  <c r="AC18" i="35"/>
  <c r="U26" i="35"/>
  <c r="U33" i="35"/>
  <c r="AB20" i="35"/>
  <c r="U14" i="35"/>
  <c r="U9" i="35"/>
  <c r="S26" i="35"/>
  <c r="S20" i="35"/>
  <c r="U18" i="35"/>
  <c r="S18" i="35"/>
  <c r="AA16" i="35"/>
  <c r="W16" i="35"/>
  <c r="S14" i="35"/>
  <c r="AA10" i="35"/>
  <c r="AB10" i="35"/>
  <c r="AC10" i="35"/>
  <c r="AC25" i="33"/>
  <c r="AC31" i="33"/>
  <c r="S42" i="33"/>
  <c r="U10" i="33"/>
  <c r="AA10" i="33"/>
  <c r="S43" i="33"/>
  <c r="AC28" i="33"/>
  <c r="AA19" i="33"/>
  <c r="W19" i="33"/>
  <c r="U19" i="33"/>
  <c r="U39" i="33"/>
  <c r="W39" i="33"/>
  <c r="AC37" i="33"/>
  <c r="W35" i="33"/>
  <c r="U35" i="33"/>
  <c r="AB34" i="33"/>
  <c r="E15" i="49"/>
  <c r="B11" i="49"/>
  <c r="E4" i="4" s="1"/>
  <c r="B5" i="62" s="1"/>
  <c r="B73" i="72" s="1"/>
  <c r="B8" i="49"/>
  <c r="B10" i="49"/>
  <c r="B9" i="49"/>
  <c r="B6" i="49"/>
  <c r="E7" i="49"/>
  <c r="W27" i="33"/>
  <c r="AB26" i="33"/>
  <c r="U46" i="33"/>
  <c r="AA44" i="33"/>
  <c r="U42" i="33"/>
  <c r="S38" i="33"/>
  <c r="AC32" i="33"/>
  <c r="S32" i="33"/>
  <c r="AA23" i="33"/>
  <c r="W21" i="33"/>
  <c r="AB21" i="33"/>
  <c r="AA17" i="33"/>
  <c r="U15" i="33"/>
  <c r="P61" i="15"/>
  <c r="AA41" i="34"/>
  <c r="U10" i="34"/>
  <c r="AC40" i="34"/>
  <c r="S37" i="34"/>
  <c r="U21" i="34"/>
  <c r="W41" i="34"/>
  <c r="AA40" i="34"/>
  <c r="S35" i="34"/>
  <c r="AB11" i="34"/>
  <c r="W37" i="34"/>
  <c r="AB33" i="34"/>
  <c r="U28" i="34"/>
  <c r="AC28" i="34"/>
  <c r="S23" i="34"/>
  <c r="AB23" i="34"/>
  <c r="U15" i="34"/>
  <c r="S21" i="34"/>
  <c r="U19" i="34"/>
  <c r="AC17" i="34"/>
  <c r="AB17" i="34"/>
  <c r="AA11" i="34"/>
  <c r="W10" i="34"/>
  <c r="C23" i="40"/>
  <c r="C15" i="40"/>
  <c r="C25" i="40"/>
  <c r="C40" i="69"/>
  <c r="C5" i="11"/>
  <c r="O10" i="1"/>
  <c r="P10" i="1" s="1"/>
  <c r="L27" i="6"/>
  <c r="K22" i="6"/>
  <c r="M22" i="6" s="1"/>
  <c r="I22" i="6" s="1"/>
  <c r="K23" i="6"/>
  <c r="M23" i="6" s="1"/>
  <c r="I23" i="6" s="1"/>
  <c r="S23" i="6" s="1"/>
  <c r="K21" i="6"/>
  <c r="M21" i="6" s="1"/>
  <c r="I21" i="6" s="1"/>
  <c r="S21" i="6" s="1"/>
  <c r="K24" i="6"/>
  <c r="S8" i="1"/>
  <c r="AQ8" i="1" s="1"/>
  <c r="S10" i="1"/>
  <c r="AR10" i="1" s="1"/>
  <c r="S9" i="1"/>
  <c r="AR9" i="1" s="1"/>
  <c r="T13" i="1"/>
  <c r="AQ13" i="1"/>
  <c r="M20" i="6"/>
  <c r="I20" i="6" s="1"/>
  <c r="I4" i="6"/>
  <c r="G3" i="43" s="1"/>
  <c r="B113" i="43" s="1"/>
  <c r="E15" i="6"/>
  <c r="Q16" i="1"/>
  <c r="F27" i="68" s="1"/>
  <c r="C29" i="68" s="1"/>
  <c r="D27" i="68" s="1"/>
  <c r="G5" i="3"/>
  <c r="B3" i="3" s="1"/>
  <c r="K25" i="6"/>
  <c r="M25" i="6" s="1"/>
  <c r="I25" i="6" s="1"/>
  <c r="S25" i="6" s="1"/>
  <c r="K19" i="6"/>
  <c r="K26" i="6"/>
  <c r="M26" i="6" s="1"/>
  <c r="I26" i="6" s="1"/>
  <c r="S26" i="6" s="1"/>
  <c r="C36" i="69"/>
  <c r="AR7" i="1"/>
  <c r="M7" i="1"/>
  <c r="O7" i="1" s="1"/>
  <c r="P7" i="1" s="1"/>
  <c r="H16" i="1"/>
  <c r="T8" i="1"/>
  <c r="F27" i="69"/>
  <c r="C47" i="69" s="1"/>
  <c r="D45" i="69" s="1"/>
  <c r="C34" i="69"/>
  <c r="C38" i="69" s="1"/>
  <c r="T7" i="1"/>
  <c r="AR8" i="1"/>
  <c r="D19" i="12"/>
  <c r="C19" i="12" s="1"/>
  <c r="E56" i="40"/>
  <c r="D9" i="68"/>
  <c r="C9" i="68" s="1"/>
  <c r="D9" i="69"/>
  <c r="C9" i="69" s="1"/>
  <c r="T9" i="1"/>
  <c r="AQ9" i="1"/>
  <c r="O11" i="1"/>
  <c r="P11" i="1" s="1"/>
  <c r="M16" i="1"/>
  <c r="C34" i="68" s="1"/>
  <c r="O14" i="1"/>
  <c r="P14" i="1" s="1"/>
  <c r="E29" i="6"/>
  <c r="F31" i="6"/>
  <c r="E13" i="6"/>
  <c r="E12" i="6"/>
  <c r="G16" i="1"/>
  <c r="F10" i="40" s="1"/>
  <c r="D58" i="33"/>
  <c r="E58" i="33" s="1"/>
  <c r="F58" i="33" s="1"/>
  <c r="G58" i="33" s="1"/>
  <c r="H58" i="33" s="1"/>
  <c r="I58" i="33" s="1"/>
  <c r="J58" i="33" s="1"/>
  <c r="K58" i="33" s="1"/>
  <c r="L58" i="33" s="1"/>
  <c r="M58" i="33" s="1"/>
  <c r="N58" i="33" s="1"/>
  <c r="O58" i="33" s="1"/>
  <c r="J7" i="33"/>
  <c r="W7" i="33" s="1"/>
  <c r="H7" i="33"/>
  <c r="F7" i="33"/>
  <c r="E9" i="49"/>
  <c r="E13" i="49"/>
  <c r="B14" i="49"/>
  <c r="E4" i="49"/>
  <c r="B5" i="49"/>
  <c r="E5" i="49"/>
  <c r="E6" i="49"/>
  <c r="E11" i="49"/>
  <c r="E22" i="49"/>
  <c r="B4" i="49"/>
  <c r="E14" i="49"/>
  <c r="E10" i="49"/>
  <c r="B15" i="49"/>
  <c r="B7" i="49"/>
  <c r="K1" i="73"/>
  <c r="J7" i="34"/>
  <c r="E7" i="71"/>
  <c r="E6" i="71" s="1"/>
  <c r="E5" i="71" s="1"/>
  <c r="V8" i="71"/>
  <c r="H70" i="39"/>
  <c r="I68" i="39"/>
  <c r="K59" i="34"/>
  <c r="L59" i="34" s="1"/>
  <c r="M59" i="34" s="1"/>
  <c r="N59" i="34" s="1"/>
  <c r="O59" i="34" s="1"/>
  <c r="F7" i="34"/>
  <c r="H7" i="34"/>
  <c r="G65" i="40"/>
  <c r="H63" i="40"/>
  <c r="G58" i="21"/>
  <c r="H58" i="21" s="1"/>
  <c r="I58" i="21" s="1"/>
  <c r="J58" i="21" s="1"/>
  <c r="K58" i="21" s="1"/>
  <c r="L58" i="21" s="1"/>
  <c r="M58" i="21" s="1"/>
  <c r="N58" i="21" s="1"/>
  <c r="O58" i="21" s="1"/>
  <c r="I48" i="35"/>
  <c r="J48" i="35" s="1"/>
  <c r="K48" i="35" s="1"/>
  <c r="L48" i="35" s="1"/>
  <c r="M48" i="35" s="1"/>
  <c r="N48" i="35" s="1"/>
  <c r="O48" i="35" s="1"/>
  <c r="F7" i="35"/>
  <c r="J52" i="37"/>
  <c r="K52" i="37" s="1"/>
  <c r="L52" i="37" s="1"/>
  <c r="M52" i="37" s="1"/>
  <c r="N52" i="37" s="1"/>
  <c r="O52" i="37" s="1"/>
  <c r="H7" i="37"/>
  <c r="J7" i="35"/>
  <c r="F7" i="37"/>
  <c r="P25" i="43"/>
  <c r="J7" i="21"/>
  <c r="F7" i="21"/>
  <c r="F46" i="36"/>
  <c r="H7" i="35"/>
  <c r="J7" i="37"/>
  <c r="AC7" i="33"/>
  <c r="V48" i="33" s="1"/>
  <c r="I48" i="33"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E60" i="40"/>
  <c r="E65" i="39"/>
  <c r="AZ557" i="3"/>
  <c r="S12" i="21"/>
  <c r="AA12" i="21"/>
  <c r="C31" i="12"/>
  <c r="D9" i="53"/>
  <c r="B25" i="72" s="1"/>
  <c r="B24" i="72"/>
  <c r="W9" i="34"/>
  <c r="AC9" i="34"/>
  <c r="AC24" i="35"/>
  <c r="W24" i="35"/>
  <c r="AC34" i="35"/>
  <c r="W34" i="35"/>
  <c r="AA35" i="33"/>
  <c r="AC39" i="34"/>
  <c r="U44" i="34"/>
  <c r="AB27" i="36"/>
  <c r="AA27" i="40"/>
  <c r="AB27" i="40"/>
  <c r="AA34" i="33"/>
  <c r="AA39" i="34"/>
  <c r="H87" i="43"/>
  <c r="H86" i="43"/>
  <c r="AA25" i="21"/>
  <c r="W31" i="34"/>
  <c r="AA13" i="35"/>
  <c r="O8" i="1"/>
  <c r="O16" i="1" s="1"/>
  <c r="H9" i="34"/>
  <c r="F34" i="35"/>
  <c r="H34" i="35"/>
  <c r="J36" i="35"/>
  <c r="AZ489" i="3"/>
  <c r="AZ316" i="3"/>
  <c r="AZ230" i="3"/>
  <c r="AZ246" i="3"/>
  <c r="AZ126" i="3"/>
  <c r="AZ398" i="3"/>
  <c r="AZ405" i="3"/>
  <c r="AZ407" i="3"/>
  <c r="AZ410" i="3"/>
  <c r="AZ415" i="3"/>
  <c r="AZ420" i="3"/>
  <c r="AZ426" i="3"/>
  <c r="AZ431" i="3"/>
  <c r="AZ436" i="3"/>
  <c r="AZ448" i="3"/>
  <c r="AZ452" i="3"/>
  <c r="AZ461" i="3"/>
  <c r="AZ463" i="3"/>
  <c r="AZ468" i="3"/>
  <c r="AZ470" i="3"/>
  <c r="AZ479" i="3"/>
  <c r="AZ485" i="3"/>
  <c r="AZ211" i="3"/>
  <c r="AZ219" i="3"/>
  <c r="AZ236" i="3"/>
  <c r="AZ252" i="3"/>
  <c r="AZ272" i="3"/>
  <c r="AZ276" i="3"/>
  <c r="AZ289" i="3"/>
  <c r="AZ294" i="3"/>
  <c r="AZ300" i="3"/>
  <c r="AZ118" i="3"/>
  <c r="AZ121" i="3"/>
  <c r="AZ134" i="3"/>
  <c r="AZ137" i="3"/>
  <c r="AZ145" i="3"/>
  <c r="AZ177" i="3"/>
  <c r="AZ185" i="3"/>
  <c r="AZ207" i="3"/>
  <c r="AZ22" i="3"/>
  <c r="AZ5" i="3" s="1"/>
  <c r="AZ49" i="3"/>
  <c r="AZ54" i="3"/>
  <c r="AZ57" i="3"/>
  <c r="AZ70" i="3"/>
  <c r="AZ108" i="3"/>
  <c r="F3" i="35"/>
  <c r="C40" i="68"/>
  <c r="C29" i="39"/>
  <c r="B66" i="43"/>
  <c r="C31" i="71"/>
  <c r="D30" i="71"/>
  <c r="C35" i="71"/>
  <c r="D35" i="71" s="1"/>
  <c r="D34" i="71"/>
  <c r="D38" i="71"/>
  <c r="C39" i="71"/>
  <c r="D42" i="71"/>
  <c r="C43" i="71"/>
  <c r="D46" i="71"/>
  <c r="C47" i="71"/>
  <c r="Y12" i="71"/>
  <c r="Z12" i="71" s="1"/>
  <c r="AA10" i="71"/>
  <c r="X9" i="71"/>
  <c r="X6" i="71"/>
  <c r="AA5" i="71"/>
  <c r="X5" i="71"/>
  <c r="V56" i="71"/>
  <c r="F55" i="71"/>
  <c r="X12" i="71"/>
  <c r="Y9" i="71"/>
  <c r="Z9" i="71" s="1"/>
  <c r="AB9" i="71"/>
  <c r="AA9" i="71"/>
  <c r="Y5" i="71"/>
  <c r="Z5" i="71" s="1"/>
  <c r="AB5" i="71"/>
  <c r="AH10" i="43"/>
  <c r="AD10" i="43"/>
  <c r="Z10" i="43"/>
  <c r="AG10" i="43"/>
  <c r="AC10" i="43"/>
  <c r="AA12" i="71"/>
  <c r="AB12" i="71"/>
  <c r="B12" i="71"/>
  <c r="C12" i="71"/>
  <c r="Y11" i="71"/>
  <c r="Z11" i="71" s="1"/>
  <c r="Y10" i="71"/>
  <c r="Z10" i="71" s="1"/>
  <c r="AA11" i="71"/>
  <c r="AB11" i="71"/>
  <c r="X10" i="71"/>
  <c r="AA6" i="71"/>
  <c r="Y6" i="71"/>
  <c r="Z6" i="71" s="1"/>
  <c r="AB6" i="71"/>
  <c r="F59" i="15"/>
  <c r="M17" i="67"/>
  <c r="M17" i="15"/>
  <c r="F59" i="67"/>
  <c r="M6" i="78"/>
  <c r="F37" i="67"/>
  <c r="B8" i="76"/>
  <c r="B7" i="76"/>
  <c r="E13" i="76"/>
  <c r="M28" i="78"/>
  <c r="F8" i="67"/>
  <c r="E2" i="68"/>
  <c r="M8" i="15"/>
  <c r="B9" i="76"/>
  <c r="L47" i="79"/>
  <c r="M22" i="67"/>
  <c r="F7" i="15"/>
  <c r="C76" i="15"/>
  <c r="L48" i="67"/>
  <c r="F13" i="78"/>
  <c r="M27" i="78"/>
  <c r="F7" i="67"/>
  <c r="E2" i="69"/>
  <c r="F8" i="78"/>
  <c r="D3" i="73"/>
  <c r="M8" i="67"/>
  <c r="J15" i="79"/>
  <c r="F40" i="15"/>
  <c r="L48" i="78"/>
  <c r="F16" i="67"/>
  <c r="AO13" i="1"/>
  <c r="M29" i="79"/>
  <c r="B12" i="76"/>
  <c r="F37" i="79"/>
  <c r="F43" i="15"/>
  <c r="D7" i="73"/>
  <c r="B13" i="76"/>
  <c r="F41" i="67"/>
  <c r="F26" i="78"/>
  <c r="M26" i="15"/>
  <c r="F40" i="79"/>
  <c r="M26" i="67"/>
  <c r="E7" i="76"/>
  <c r="F42" i="67"/>
  <c r="F16" i="78"/>
  <c r="F9" i="79"/>
  <c r="F38" i="78"/>
  <c r="F26" i="67"/>
  <c r="M9" i="67"/>
  <c r="B11" i="76"/>
  <c r="M22" i="78"/>
  <c r="J15" i="67"/>
  <c r="F6" i="67"/>
  <c r="F16" i="15"/>
  <c r="L47" i="78"/>
  <c r="M8" i="79"/>
  <c r="J15" i="78"/>
  <c r="M29" i="67"/>
  <c r="L48" i="15"/>
  <c r="M29" i="78"/>
  <c r="M27" i="15"/>
  <c r="E10" i="76"/>
  <c r="F13" i="67"/>
  <c r="F40" i="78"/>
  <c r="F8" i="79"/>
  <c r="M24" i="78"/>
  <c r="M6" i="67"/>
  <c r="E9" i="76"/>
  <c r="D35" i="9"/>
  <c r="M26" i="79"/>
  <c r="L47" i="67"/>
  <c r="J15" i="15"/>
  <c r="D34" i="9"/>
  <c r="F37" i="78"/>
  <c r="M6" i="79"/>
  <c r="F42" i="78"/>
  <c r="AO12" i="1"/>
  <c r="F7" i="79"/>
  <c r="M29" i="15"/>
  <c r="M24" i="67"/>
  <c r="D4" i="73"/>
  <c r="F6" i="78"/>
  <c r="F20" i="31"/>
  <c r="F26" i="79"/>
  <c r="E12" i="76"/>
  <c r="M9" i="15"/>
  <c r="M23" i="15"/>
  <c r="F38" i="15"/>
  <c r="M23" i="78"/>
  <c r="F38" i="67"/>
  <c r="F36" i="67"/>
  <c r="M24" i="79"/>
  <c r="E8" i="76"/>
  <c r="M9" i="79"/>
  <c r="D2" i="33"/>
  <c r="M23" i="79"/>
  <c r="F16" i="79"/>
  <c r="M27" i="67"/>
  <c r="M28" i="67"/>
  <c r="F7" i="73"/>
  <c r="F7" i="78"/>
  <c r="D2" i="36"/>
  <c r="L48" i="79"/>
  <c r="F26" i="15"/>
  <c r="D2" i="37"/>
  <c r="AO10" i="1"/>
  <c r="F36" i="78"/>
  <c r="F43" i="78"/>
  <c r="B10" i="76"/>
  <c r="M22" i="15"/>
  <c r="M26" i="78"/>
  <c r="F36" i="15"/>
  <c r="M22" i="79"/>
  <c r="D6" i="73"/>
  <c r="F43" i="67"/>
  <c r="F5" i="73"/>
  <c r="M6" i="15"/>
  <c r="F42" i="79"/>
  <c r="L47" i="15"/>
  <c r="F13" i="79"/>
  <c r="D2" i="21"/>
  <c r="F13" i="15"/>
  <c r="F43" i="79"/>
  <c r="F37" i="15"/>
  <c r="M8" i="78"/>
  <c r="F4" i="73"/>
  <c r="M24" i="15"/>
  <c r="D5" i="73"/>
  <c r="F6" i="73"/>
  <c r="F9" i="15"/>
  <c r="AO8" i="1"/>
  <c r="E11" i="76"/>
  <c r="F3" i="73"/>
  <c r="F42" i="15"/>
  <c r="F6" i="15"/>
  <c r="M23" i="67"/>
  <c r="M9" i="78"/>
  <c r="F9" i="78"/>
  <c r="D2" i="34"/>
  <c r="F9" i="67"/>
  <c r="F8" i="15"/>
  <c r="F6" i="79"/>
  <c r="F40" i="67"/>
  <c r="M27" i="79"/>
  <c r="M28" i="79"/>
  <c r="D2" i="35"/>
  <c r="C76" i="67"/>
  <c r="M28" i="15"/>
  <c r="F38" i="79"/>
  <c r="F36" i="79"/>
  <c r="C14" i="79"/>
  <c r="G1" i="73"/>
  <c r="C14" i="15"/>
  <c r="F64" i="79" l="1"/>
  <c r="F66" i="79"/>
  <c r="Q71" i="67"/>
  <c r="F68" i="67"/>
  <c r="C6" i="79"/>
  <c r="F51" i="15"/>
  <c r="C6" i="15"/>
  <c r="B8" i="70"/>
  <c r="I1" i="73"/>
  <c r="B39" i="1" s="1"/>
  <c r="F65" i="15"/>
  <c r="F71" i="79"/>
  <c r="L58" i="15"/>
  <c r="M59" i="15"/>
  <c r="N59" i="15"/>
  <c r="L59" i="15"/>
  <c r="F71" i="67"/>
  <c r="F64" i="15"/>
  <c r="F71" i="78"/>
  <c r="F64" i="78"/>
  <c r="B10" i="70"/>
  <c r="C27" i="15"/>
  <c r="J53" i="79"/>
  <c r="J57" i="79"/>
  <c r="J55" i="79" s="1"/>
  <c r="J58" i="79" s="1"/>
  <c r="Q50" i="79" s="1"/>
  <c r="I54" i="79"/>
  <c r="M7" i="78"/>
  <c r="J6" i="78" s="1"/>
  <c r="F50" i="78"/>
  <c r="F64" i="67"/>
  <c r="F66" i="67"/>
  <c r="F66" i="15"/>
  <c r="C27" i="79"/>
  <c r="C6" i="78"/>
  <c r="E20" i="88"/>
  <c r="E20" i="43"/>
  <c r="F50" i="79"/>
  <c r="M7" i="79"/>
  <c r="J6" i="79" s="1"/>
  <c r="J18" i="79" s="1"/>
  <c r="B12" i="70"/>
  <c r="F65" i="78"/>
  <c r="L59" i="67"/>
  <c r="M59" i="67"/>
  <c r="N59" i="67"/>
  <c r="L58" i="67"/>
  <c r="F51" i="79"/>
  <c r="F68" i="78"/>
  <c r="I54" i="15"/>
  <c r="J57" i="15"/>
  <c r="J55" i="15" s="1"/>
  <c r="J58" i="15" s="1"/>
  <c r="Q50" i="15" s="1"/>
  <c r="J53" i="15"/>
  <c r="L59" i="78"/>
  <c r="Q61" i="78" s="1"/>
  <c r="M59" i="78"/>
  <c r="N59" i="78"/>
  <c r="L58" i="78"/>
  <c r="C6" i="67"/>
  <c r="C27" i="67"/>
  <c r="F66" i="78"/>
  <c r="F70" i="67"/>
  <c r="F68" i="79"/>
  <c r="C27" i="78"/>
  <c r="F69" i="67"/>
  <c r="F71" i="15"/>
  <c r="F65" i="79"/>
  <c r="B13" i="70"/>
  <c r="I54" i="78"/>
  <c r="J57" i="78"/>
  <c r="J55" i="78" s="1"/>
  <c r="J58" i="78" s="1"/>
  <c r="Q50" i="78" s="1"/>
  <c r="J53" i="78"/>
  <c r="Q52" i="78" s="1"/>
  <c r="F68" i="15"/>
  <c r="F51" i="78"/>
  <c r="C49" i="78" s="1"/>
  <c r="F50" i="67"/>
  <c r="M7" i="67"/>
  <c r="J6" i="67" s="1"/>
  <c r="I54" i="67"/>
  <c r="L56" i="67"/>
  <c r="J53" i="67"/>
  <c r="J57" i="67"/>
  <c r="J55" i="67" s="1"/>
  <c r="J58" i="67" s="1"/>
  <c r="Q50" i="67" s="1"/>
  <c r="Q71" i="15"/>
  <c r="M7" i="15"/>
  <c r="J6" i="15" s="1"/>
  <c r="F50" i="15"/>
  <c r="N59" i="79"/>
  <c r="L58" i="79"/>
  <c r="L59" i="79"/>
  <c r="Q74" i="79" s="1"/>
  <c r="M59" i="79"/>
  <c r="F51" i="67"/>
  <c r="C49" i="67" s="1"/>
  <c r="F65" i="67"/>
  <c r="P28" i="88"/>
  <c r="N28" i="88"/>
  <c r="M28" i="88"/>
  <c r="O28" i="88"/>
  <c r="G17" i="43"/>
  <c r="C16" i="43" s="1"/>
  <c r="C5" i="43" s="1"/>
  <c r="M24" i="6"/>
  <c r="I24" i="6" s="1"/>
  <c r="S24" i="6" s="1"/>
  <c r="S11" i="1"/>
  <c r="K27" i="6"/>
  <c r="E7" i="70"/>
  <c r="C18" i="79"/>
  <c r="C15" i="79"/>
  <c r="S22" i="6"/>
  <c r="L18" i="84"/>
  <c r="S20" i="6"/>
  <c r="L18" i="83"/>
  <c r="E9" i="70"/>
  <c r="C35" i="69"/>
  <c r="Q61" i="79"/>
  <c r="C49" i="79"/>
  <c r="F1" i="79"/>
  <c r="Q52" i="79"/>
  <c r="L56" i="79"/>
  <c r="F11" i="79"/>
  <c r="M11" i="79"/>
  <c r="J10" i="79" s="1"/>
  <c r="J5" i="79" s="1"/>
  <c r="C32" i="79"/>
  <c r="Q60" i="79"/>
  <c r="Q73" i="79"/>
  <c r="J18" i="78"/>
  <c r="F1" i="78"/>
  <c r="L56" i="78"/>
  <c r="F11" i="78"/>
  <c r="M11" i="78"/>
  <c r="J10" i="78" s="1"/>
  <c r="J5" i="78" s="1"/>
  <c r="C32" i="78"/>
  <c r="Q60" i="78"/>
  <c r="Q73" i="78"/>
  <c r="J10" i="39"/>
  <c r="D101" i="43"/>
  <c r="N101" i="43"/>
  <c r="S4" i="43"/>
  <c r="C23" i="43"/>
  <c r="AE11" i="43"/>
  <c r="AE13" i="43" s="1"/>
  <c r="Z11" i="43"/>
  <c r="Z13" i="43" s="1"/>
  <c r="AH11" i="43"/>
  <c r="AH13" i="43" s="1"/>
  <c r="M101" i="43"/>
  <c r="C101" i="43"/>
  <c r="C29" i="69"/>
  <c r="D27" i="69" s="1"/>
  <c r="F28" i="12"/>
  <c r="C29" i="12" s="1"/>
  <c r="D28" i="12" s="1"/>
  <c r="G22" i="43"/>
  <c r="J101" i="43"/>
  <c r="J105" i="43" s="1"/>
  <c r="F22" i="43"/>
  <c r="J22" i="43"/>
  <c r="AA11" i="43"/>
  <c r="AA13" i="43" s="1"/>
  <c r="AI11" i="43"/>
  <c r="AI13" i="43" s="1"/>
  <c r="AD11" i="43"/>
  <c r="AD13" i="43" s="1"/>
  <c r="S2" i="43"/>
  <c r="H22" i="43"/>
  <c r="F101" i="43"/>
  <c r="J103" i="43"/>
  <c r="F27" i="11"/>
  <c r="C29" i="11" s="1"/>
  <c r="D27" i="11" s="1"/>
  <c r="C34" i="11"/>
  <c r="C35" i="11" s="1"/>
  <c r="M19" i="6"/>
  <c r="S6" i="1"/>
  <c r="AQ10" i="1"/>
  <c r="T10" i="1"/>
  <c r="C49" i="15"/>
  <c r="P8" i="1"/>
  <c r="P16" i="1" s="1"/>
  <c r="C11" i="12" s="1"/>
  <c r="C12" i="12" s="1"/>
  <c r="S5" i="43"/>
  <c r="I101" i="43"/>
  <c r="I107" i="43" s="1"/>
  <c r="L101" i="43"/>
  <c r="G101" i="43"/>
  <c r="G104" i="43" s="1"/>
  <c r="K101" i="43"/>
  <c r="S7" i="43"/>
  <c r="S6" i="43"/>
  <c r="S3" i="43"/>
  <c r="Y11" i="43"/>
  <c r="Y13" i="43" s="1"/>
  <c r="AC11" i="43"/>
  <c r="AC13" i="43" s="1"/>
  <c r="AG11" i="43"/>
  <c r="AG13" i="43" s="1"/>
  <c r="Z7" i="43"/>
  <c r="AB11" i="43"/>
  <c r="AB13" i="43" s="1"/>
  <c r="AF11" i="43"/>
  <c r="AF13" i="43" s="1"/>
  <c r="AJ11" i="43"/>
  <c r="AJ13" i="43" s="1"/>
  <c r="E101" i="43"/>
  <c r="E106" i="43" s="1"/>
  <c r="H101" i="43"/>
  <c r="N104" i="46"/>
  <c r="E22" i="43"/>
  <c r="D22" i="43"/>
  <c r="AC6" i="3"/>
  <c r="H6" i="3"/>
  <c r="E6" i="3" s="1"/>
  <c r="J10" i="40"/>
  <c r="I109" i="43"/>
  <c r="L109" i="43"/>
  <c r="L107" i="43"/>
  <c r="L106" i="43"/>
  <c r="L103" i="43"/>
  <c r="K103" i="43"/>
  <c r="K107" i="43"/>
  <c r="K104" i="43"/>
  <c r="K105" i="43"/>
  <c r="K102" i="43"/>
  <c r="K106" i="43"/>
  <c r="K109" i="43"/>
  <c r="H102" i="43"/>
  <c r="H103" i="43"/>
  <c r="H104" i="43"/>
  <c r="H109" i="43"/>
  <c r="H107" i="43"/>
  <c r="H106" i="43"/>
  <c r="H105" i="43"/>
  <c r="B115"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G118" i="43"/>
  <c r="H118" i="43" s="1"/>
  <c r="B118" i="43"/>
  <c r="C118" i="43" s="1"/>
  <c r="B117" i="43"/>
  <c r="C117" i="43" s="1"/>
  <c r="D115" i="43"/>
  <c r="E115" i="43" s="1"/>
  <c r="F115" i="43" s="1"/>
  <c r="G115" i="43" s="1"/>
  <c r="H115" i="43" s="1"/>
  <c r="K4" i="4"/>
  <c r="B46" i="48" s="1"/>
  <c r="B4" i="72" s="1"/>
  <c r="H10" i="39"/>
  <c r="AB10" i="39" s="1"/>
  <c r="L105" i="43"/>
  <c r="D109" i="43"/>
  <c r="D105" i="43"/>
  <c r="D102" i="43"/>
  <c r="D106" i="43"/>
  <c r="J104" i="43"/>
  <c r="J102" i="43"/>
  <c r="J107" i="43"/>
  <c r="J106" i="43"/>
  <c r="J109" i="43"/>
  <c r="N102" i="43"/>
  <c r="N103" i="43"/>
  <c r="N106" i="43"/>
  <c r="N104" i="43"/>
  <c r="N105" i="43"/>
  <c r="N107" i="43"/>
  <c r="N109" i="43"/>
  <c r="M109" i="43"/>
  <c r="M107" i="43"/>
  <c r="M104" i="43"/>
  <c r="M105" i="43"/>
  <c r="C104" i="43"/>
  <c r="C107" i="43"/>
  <c r="C109" i="43"/>
  <c r="C103" i="43"/>
  <c r="C102" i="43"/>
  <c r="F104" i="43"/>
  <c r="F102" i="43"/>
  <c r="F105" i="43"/>
  <c r="F107" i="43"/>
  <c r="F106" i="43"/>
  <c r="F103" i="43"/>
  <c r="F109" i="43"/>
  <c r="C47" i="11"/>
  <c r="D45" i="11" s="1"/>
  <c r="C15" i="15"/>
  <c r="C18" i="15"/>
  <c r="E58" i="40"/>
  <c r="E63" i="39"/>
  <c r="N16" i="1"/>
  <c r="L16" i="1"/>
  <c r="E57" i="40"/>
  <c r="E62" i="39"/>
  <c r="E16" i="6"/>
  <c r="K15" i="1"/>
  <c r="K16" i="1" s="1"/>
  <c r="E30" i="6"/>
  <c r="E31" i="6" s="1"/>
  <c r="H10" i="40"/>
  <c r="U10" i="40" s="1"/>
  <c r="F10" i="39"/>
  <c r="AA10" i="39" s="1"/>
  <c r="AB10" i="40"/>
  <c r="S10" i="40"/>
  <c r="AA10" i="40"/>
  <c r="S7" i="33"/>
  <c r="AA7" i="33"/>
  <c r="R48" i="33" s="1"/>
  <c r="H7" i="21"/>
  <c r="AB7" i="33"/>
  <c r="T48" i="33" s="1"/>
  <c r="G48" i="33" s="1"/>
  <c r="U7" i="33"/>
  <c r="C35" i="68"/>
  <c r="C38" i="68"/>
  <c r="B40" i="1"/>
  <c r="AY6" i="3"/>
  <c r="E3" i="6"/>
  <c r="W36" i="35"/>
  <c r="AC36" i="35"/>
  <c r="B11" i="71"/>
  <c r="B10" i="71" s="1"/>
  <c r="B9" i="71" s="1"/>
  <c r="B8" i="71" s="1"/>
  <c r="S12" i="71"/>
  <c r="F54" i="71"/>
  <c r="Q55" i="71"/>
  <c r="D47" i="71"/>
  <c r="C48" i="71"/>
  <c r="D43" i="71"/>
  <c r="C44" i="71"/>
  <c r="D39" i="71"/>
  <c r="C40" i="71"/>
  <c r="C47" i="68"/>
  <c r="D45" i="68" s="1"/>
  <c r="Q52" i="15"/>
  <c r="F1" i="15"/>
  <c r="AB34" i="35"/>
  <c r="U34" i="35"/>
  <c r="AB9" i="34"/>
  <c r="U9" i="34"/>
  <c r="AC10" i="39"/>
  <c r="W10" i="39"/>
  <c r="I52" i="33"/>
  <c r="J52" i="33" s="1"/>
  <c r="AB7" i="35"/>
  <c r="T38" i="35" s="1"/>
  <c r="G38" i="35" s="1"/>
  <c r="U7" i="35"/>
  <c r="W7" i="21"/>
  <c r="AC7" i="21"/>
  <c r="V48" i="21" s="1"/>
  <c r="I48" i="21" s="1"/>
  <c r="AC7" i="35"/>
  <c r="V38" i="35" s="1"/>
  <c r="I38" i="35" s="1"/>
  <c r="W7" i="35"/>
  <c r="I63" i="40"/>
  <c r="H65" i="40"/>
  <c r="U7" i="34"/>
  <c r="AB7" i="34"/>
  <c r="T49" i="34" s="1"/>
  <c r="G49" i="34" s="1"/>
  <c r="L56" i="15"/>
  <c r="Q74" i="67"/>
  <c r="Q61" i="67"/>
  <c r="M11" i="15"/>
  <c r="F11" i="15"/>
  <c r="F11" i="67"/>
  <c r="M11" i="67"/>
  <c r="J10" i="67" s="1"/>
  <c r="J5" i="67" s="1"/>
  <c r="Q61" i="15"/>
  <c r="Q74" i="15"/>
  <c r="P28" i="43"/>
  <c r="N28" i="43"/>
  <c r="G20" i="43" s="1"/>
  <c r="M28" i="43"/>
  <c r="O28" i="43"/>
  <c r="C11" i="71"/>
  <c r="D12" i="71"/>
  <c r="U12" i="71" s="1"/>
  <c r="T12" i="71"/>
  <c r="D31" i="71"/>
  <c r="C32" i="71"/>
  <c r="Q52" i="67"/>
  <c r="F1" i="67"/>
  <c r="S34" i="35"/>
  <c r="AA34" i="35"/>
  <c r="U10" i="39"/>
  <c r="W7" i="37"/>
  <c r="AC7" i="37"/>
  <c r="V42" i="37" s="1"/>
  <c r="I42" i="37" s="1"/>
  <c r="G46" i="36"/>
  <c r="H46" i="36" s="1"/>
  <c r="I46" i="36" s="1"/>
  <c r="J46" i="36" s="1"/>
  <c r="K46" i="36" s="1"/>
  <c r="L46" i="36" s="1"/>
  <c r="M46" i="36" s="1"/>
  <c r="N46" i="36" s="1"/>
  <c r="O46" i="36" s="1"/>
  <c r="S7" i="21"/>
  <c r="AA7" i="21"/>
  <c r="R48" i="21" s="1"/>
  <c r="S7" i="37"/>
  <c r="AA7" i="37"/>
  <c r="R42" i="37" s="1"/>
  <c r="U7" i="37"/>
  <c r="AB7" i="37"/>
  <c r="T42" i="37" s="1"/>
  <c r="G42" i="37" s="1"/>
  <c r="AA7" i="35"/>
  <c r="R38" i="35" s="1"/>
  <c r="S7" i="35"/>
  <c r="AB7" i="21"/>
  <c r="T48" i="21" s="1"/>
  <c r="G48" i="21" s="1"/>
  <c r="U7" i="21"/>
  <c r="J7" i="36"/>
  <c r="S7" i="34"/>
  <c r="AA7" i="34"/>
  <c r="R49" i="34" s="1"/>
  <c r="J68" i="39"/>
  <c r="I70" i="39"/>
  <c r="W7" i="34"/>
  <c r="AC7" i="34"/>
  <c r="V49" i="34" s="1"/>
  <c r="I49" i="34" s="1"/>
  <c r="Q73" i="67"/>
  <c r="Q60" i="67"/>
  <c r="Q73" i="15"/>
  <c r="Q60" i="15"/>
  <c r="J18" i="15"/>
  <c r="C32" i="15"/>
  <c r="J18" i="67"/>
  <c r="C32" i="67"/>
  <c r="AE6" i="1"/>
  <c r="C17" i="79"/>
  <c r="C16" i="67"/>
  <c r="C17" i="67"/>
  <c r="C16" i="79"/>
  <c r="C14" i="67"/>
  <c r="C16" i="15"/>
  <c r="C16" i="78"/>
  <c r="C17" i="15"/>
  <c r="C17" i="78"/>
  <c r="AE7" i="1"/>
  <c r="AE11" i="1"/>
  <c r="J10" i="15" l="1"/>
  <c r="J5" i="15" s="1"/>
  <c r="Q74" i="78"/>
  <c r="G20" i="88"/>
  <c r="C20" i="88" s="1"/>
  <c r="C15" i="67"/>
  <c r="C18" i="67"/>
  <c r="C21" i="43"/>
  <c r="E41" i="88"/>
  <c r="C41" i="88" s="1"/>
  <c r="D5" i="43"/>
  <c r="E41" i="43"/>
  <c r="C41" i="43" s="1"/>
  <c r="C20" i="43"/>
  <c r="T7" i="43" s="1"/>
  <c r="V7" i="43" s="1"/>
  <c r="AQ11" i="1"/>
  <c r="AR11" i="1"/>
  <c r="T11" i="1"/>
  <c r="H108" i="84"/>
  <c r="H108" i="83"/>
  <c r="C19" i="79"/>
  <c r="E6" i="70"/>
  <c r="E2" i="70" s="1"/>
  <c r="J26" i="79"/>
  <c r="J24" i="79"/>
  <c r="F24" i="78"/>
  <c r="C24" i="78" s="1"/>
  <c r="F24" i="79"/>
  <c r="C24" i="79" s="1"/>
  <c r="C20" i="79"/>
  <c r="C26" i="79" s="1"/>
  <c r="C53" i="79"/>
  <c r="C10" i="79"/>
  <c r="C5" i="79" s="1"/>
  <c r="C48" i="79"/>
  <c r="J26" i="78"/>
  <c r="J24" i="78"/>
  <c r="C53" i="78"/>
  <c r="C48" i="78" s="1"/>
  <c r="C10" i="78"/>
  <c r="C5" i="78" s="1"/>
  <c r="C38" i="11"/>
  <c r="E102" i="43"/>
  <c r="G107" i="43"/>
  <c r="C15" i="12"/>
  <c r="G105" i="43"/>
  <c r="M106" i="43"/>
  <c r="M102" i="43"/>
  <c r="M103" i="43"/>
  <c r="C105" i="43"/>
  <c r="C106" i="43"/>
  <c r="D104" i="43"/>
  <c r="D103" i="43"/>
  <c r="D107" i="43"/>
  <c r="E103" i="43"/>
  <c r="G106" i="43"/>
  <c r="I104" i="43"/>
  <c r="I106" i="43"/>
  <c r="E105" i="43"/>
  <c r="G109" i="43"/>
  <c r="I105" i="43"/>
  <c r="AQ6" i="1"/>
  <c r="AR6" i="1"/>
  <c r="S16" i="1"/>
  <c r="T6" i="1"/>
  <c r="E109" i="43"/>
  <c r="E107" i="43"/>
  <c r="E104" i="43"/>
  <c r="M27" i="6"/>
  <c r="I19" i="6"/>
  <c r="G102" i="43"/>
  <c r="G103" i="43"/>
  <c r="I103" i="43"/>
  <c r="I102" i="43"/>
  <c r="L102" i="43"/>
  <c r="L104" i="43"/>
  <c r="S10" i="39"/>
  <c r="E66" i="39"/>
  <c r="C19" i="15"/>
  <c r="C20" i="15" s="1"/>
  <c r="C26" i="15" s="1"/>
  <c r="W10" i="40"/>
  <c r="AC10" i="40"/>
  <c r="C115" i="43"/>
  <c r="D113" i="43" s="1"/>
  <c r="F50" i="69"/>
  <c r="F50" i="68"/>
  <c r="F50" i="11"/>
  <c r="H7" i="36"/>
  <c r="U7" i="36" s="1"/>
  <c r="G53" i="33"/>
  <c r="H53" i="33" s="1"/>
  <c r="G52" i="33"/>
  <c r="H52" i="33" s="1"/>
  <c r="R49" i="33"/>
  <c r="E48" i="33"/>
  <c r="C19" i="67"/>
  <c r="C20" i="67" s="1"/>
  <c r="C26" i="67" s="1"/>
  <c r="J24" i="15"/>
  <c r="J26" i="15"/>
  <c r="I53" i="34"/>
  <c r="J53" i="34" s="1"/>
  <c r="K68" i="39"/>
  <c r="J70" i="39"/>
  <c r="G46" i="37"/>
  <c r="H46" i="37" s="1"/>
  <c r="G47" i="37"/>
  <c r="H47" i="37" s="1"/>
  <c r="R43" i="37"/>
  <c r="E42" i="37"/>
  <c r="E48" i="21"/>
  <c r="R49" i="21"/>
  <c r="AB7" i="36"/>
  <c r="T36" i="36" s="1"/>
  <c r="G36" i="36" s="1"/>
  <c r="I46" i="37"/>
  <c r="J46" i="37" s="1"/>
  <c r="C53" i="67"/>
  <c r="C48" i="67" s="1"/>
  <c r="C10" i="67"/>
  <c r="C5" i="67" s="1"/>
  <c r="I65" i="40"/>
  <c r="J63" i="40"/>
  <c r="I42" i="35"/>
  <c r="J42" i="35" s="1"/>
  <c r="G42" i="35"/>
  <c r="H42" i="35" s="1"/>
  <c r="G43" i="35"/>
  <c r="H43" i="35" s="1"/>
  <c r="D40" i="71"/>
  <c r="T40" i="71"/>
  <c r="D44" i="71"/>
  <c r="T44" i="71"/>
  <c r="D48" i="71"/>
  <c r="T48" i="71"/>
  <c r="D3" i="21"/>
  <c r="D19" i="11"/>
  <c r="C19" i="11" s="1"/>
  <c r="C17" i="4"/>
  <c r="B4" i="52" s="1"/>
  <c r="B43" i="72" s="1"/>
  <c r="L18" i="9"/>
  <c r="D3" i="37"/>
  <c r="D3" i="34"/>
  <c r="D3" i="33"/>
  <c r="E6" i="6"/>
  <c r="D37" i="11"/>
  <c r="C37" i="11" s="1"/>
  <c r="C33" i="11" s="1"/>
  <c r="D14" i="12"/>
  <c r="M18" i="9"/>
  <c r="B118" i="9" s="1"/>
  <c r="B14" i="74" s="1"/>
  <c r="B1" i="74" s="1"/>
  <c r="F7" i="36"/>
  <c r="J24" i="67"/>
  <c r="J26" i="67"/>
  <c r="J29" i="67" s="1"/>
  <c r="R50" i="34"/>
  <c r="E49" i="34"/>
  <c r="I54" i="34" s="1"/>
  <c r="J54" i="34" s="1"/>
  <c r="W7" i="36"/>
  <c r="AC7" i="36"/>
  <c r="V36" i="36" s="1"/>
  <c r="I36" i="36" s="1"/>
  <c r="G52" i="21"/>
  <c r="H52" i="21" s="1"/>
  <c r="G53" i="21"/>
  <c r="H53" i="21" s="1"/>
  <c r="E38" i="35"/>
  <c r="R39" i="35"/>
  <c r="D32" i="71"/>
  <c r="T32" i="71"/>
  <c r="C10" i="71"/>
  <c r="D11" i="71"/>
  <c r="C53" i="15"/>
  <c r="C48" i="15" s="1"/>
  <c r="C10" i="15"/>
  <c r="C5" i="15" s="1"/>
  <c r="G53" i="34"/>
  <c r="H53" i="34" s="1"/>
  <c r="G54" i="34"/>
  <c r="H54" i="34" s="1"/>
  <c r="I52" i="21"/>
  <c r="J52" i="21" s="1"/>
  <c r="I53" i="21"/>
  <c r="J53" i="21" s="1"/>
  <c r="Q54" i="71"/>
  <c r="Q53" i="7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F22" i="68"/>
  <c r="F24" i="67"/>
  <c r="C24" i="67" s="1"/>
  <c r="F25" i="12"/>
  <c r="C26" i="12" s="1"/>
  <c r="D25" i="12" s="1"/>
  <c r="F24" i="15"/>
  <c r="C24" i="15" s="1"/>
  <c r="F22" i="69"/>
  <c r="F41" i="15"/>
  <c r="F41" i="78"/>
  <c r="C14" i="78"/>
  <c r="C37" i="43" l="1"/>
  <c r="C36" i="43"/>
  <c r="C34" i="43"/>
  <c r="C29" i="88"/>
  <c r="T11" i="88"/>
  <c r="V11" i="88" s="1"/>
  <c r="T7" i="88"/>
  <c r="V7" i="88" s="1"/>
  <c r="T2" i="88"/>
  <c r="V2" i="88" s="1"/>
  <c r="T14" i="88"/>
  <c r="V14" i="88" s="1"/>
  <c r="T12" i="88"/>
  <c r="V12" i="88" s="1"/>
  <c r="T8" i="88"/>
  <c r="V8" i="88" s="1"/>
  <c r="T5" i="88"/>
  <c r="V5" i="88" s="1"/>
  <c r="T16" i="88"/>
  <c r="V16" i="88" s="1"/>
  <c r="T10" i="88"/>
  <c r="V10" i="88" s="1"/>
  <c r="T4" i="88"/>
  <c r="V4" i="88" s="1"/>
  <c r="T15" i="88"/>
  <c r="V15" i="88" s="1"/>
  <c r="T13" i="88"/>
  <c r="V13" i="88" s="1"/>
  <c r="T9" i="88"/>
  <c r="V9" i="88" s="1"/>
  <c r="T6" i="88"/>
  <c r="V6" i="88" s="1"/>
  <c r="T3" i="88"/>
  <c r="V3" i="88" s="1"/>
  <c r="C35" i="88"/>
  <c r="C34" i="88"/>
  <c r="C37" i="88"/>
  <c r="C33" i="88"/>
  <c r="C36" i="88"/>
  <c r="C39" i="88"/>
  <c r="C38" i="88"/>
  <c r="T2" i="43"/>
  <c r="V2" i="43" s="1"/>
  <c r="T13" i="43"/>
  <c r="V13" i="43" s="1"/>
  <c r="T15" i="43"/>
  <c r="V15" i="43" s="1"/>
  <c r="T12" i="43"/>
  <c r="V12" i="43" s="1"/>
  <c r="T11" i="43"/>
  <c r="V11" i="43" s="1"/>
  <c r="T14" i="43"/>
  <c r="V14" i="43" s="1"/>
  <c r="C29" i="43"/>
  <c r="T6" i="43"/>
  <c r="V6" i="43" s="1"/>
  <c r="T8" i="43"/>
  <c r="V8" i="43" s="1"/>
  <c r="T16" i="43"/>
  <c r="V16" i="43" s="1"/>
  <c r="T9" i="43"/>
  <c r="V9" i="43" s="1"/>
  <c r="T10" i="43"/>
  <c r="V10" i="43" s="1"/>
  <c r="T4" i="43"/>
  <c r="V4" i="43" s="1"/>
  <c r="T5" i="43"/>
  <c r="V5" i="43" s="1"/>
  <c r="C39" i="43"/>
  <c r="C38" i="43"/>
  <c r="C33" i="43"/>
  <c r="C35" i="43"/>
  <c r="T3" i="43"/>
  <c r="V3" i="43" s="1"/>
  <c r="C15" i="78"/>
  <c r="C18" i="78"/>
  <c r="T16" i="1"/>
  <c r="F69" i="78"/>
  <c r="F69" i="15"/>
  <c r="J29" i="15"/>
  <c r="J29" i="78"/>
  <c r="C23" i="79"/>
  <c r="C29" i="79" s="1"/>
  <c r="C38" i="79"/>
  <c r="C66" i="79"/>
  <c r="C60" i="79"/>
  <c r="C38" i="78"/>
  <c r="C66" i="78"/>
  <c r="C60" i="78"/>
  <c r="I27" i="6"/>
  <c r="S19" i="6"/>
  <c r="S27" i="6" s="1"/>
  <c r="C48" i="33"/>
  <c r="C49" i="33"/>
  <c r="B2" i="33" s="1"/>
  <c r="I53" i="33"/>
  <c r="J53" i="33" s="1"/>
  <c r="E53" i="33"/>
  <c r="F53" i="33" s="1"/>
  <c r="E52" i="33"/>
  <c r="F52" i="33" s="1"/>
  <c r="C42" i="11"/>
  <c r="C39" i="11"/>
  <c r="C43" i="11" s="1"/>
  <c r="M19" i="9"/>
  <c r="C118" i="9" s="1"/>
  <c r="C14" i="74" s="1"/>
  <c r="B2" i="74" s="1"/>
  <c r="D19" i="6"/>
  <c r="D26" i="6"/>
  <c r="C18" i="4"/>
  <c r="D8" i="6"/>
  <c r="D23" i="6"/>
  <c r="D14" i="6"/>
  <c r="D5" i="6"/>
  <c r="D12" i="6"/>
  <c r="D11" i="6"/>
  <c r="D13" i="6"/>
  <c r="D28" i="6"/>
  <c r="E61" i="40"/>
  <c r="H20" i="6"/>
  <c r="D25" i="6"/>
  <c r="D15" i="6"/>
  <c r="D22" i="6"/>
  <c r="M19" i="84" s="1"/>
  <c r="C118" i="84" s="1"/>
  <c r="D21" i="6"/>
  <c r="D24" i="6"/>
  <c r="D20" i="6"/>
  <c r="D6" i="6"/>
  <c r="D9" i="6"/>
  <c r="D10" i="6"/>
  <c r="D29" i="6"/>
  <c r="H25" i="6"/>
  <c r="H22" i="6"/>
  <c r="L19" i="84" s="1"/>
  <c r="H21" i="6"/>
  <c r="H24" i="6"/>
  <c r="H19" i="6"/>
  <c r="L19" i="9" s="1"/>
  <c r="H23" i="6"/>
  <c r="H26" i="6"/>
  <c r="C66" i="15"/>
  <c r="C60" i="15"/>
  <c r="D10" i="71"/>
  <c r="C9" i="71"/>
  <c r="E43" i="35"/>
  <c r="F43" i="35" s="1"/>
  <c r="E42" i="35"/>
  <c r="F42" i="35" s="1"/>
  <c r="C49" i="34"/>
  <c r="C50" i="34"/>
  <c r="B2" i="34" s="1"/>
  <c r="C23" i="15"/>
  <c r="C29" i="15" s="1"/>
  <c r="AA7" i="36"/>
  <c r="R36" i="36" s="1"/>
  <c r="S7" i="36"/>
  <c r="C8" i="74"/>
  <c r="K63" i="40"/>
  <c r="J65" i="40"/>
  <c r="C38" i="67"/>
  <c r="G40" i="36"/>
  <c r="H40" i="36" s="1"/>
  <c r="G41" i="36"/>
  <c r="H41" i="36" s="1"/>
  <c r="C48" i="21"/>
  <c r="C49" i="21"/>
  <c r="B2" i="21" s="1"/>
  <c r="B3" i="21" s="1"/>
  <c r="E47" i="37"/>
  <c r="F47" i="37" s="1"/>
  <c r="E46" i="37"/>
  <c r="F46" i="37" s="1"/>
  <c r="C44" i="69"/>
  <c r="D41" i="69" s="1"/>
  <c r="C26" i="69"/>
  <c r="D22" i="69" s="1"/>
  <c r="C26" i="68"/>
  <c r="D22" i="68" s="1"/>
  <c r="C44" i="68"/>
  <c r="D41" i="68" s="1"/>
  <c r="C44" i="11"/>
  <c r="D41" i="11" s="1"/>
  <c r="C26" i="11"/>
  <c r="D22" i="11" s="1"/>
  <c r="C23" i="11"/>
  <c r="C38" i="15"/>
  <c r="C38" i="35"/>
  <c r="C39" i="35"/>
  <c r="B2" i="35" s="1"/>
  <c r="I40" i="36"/>
  <c r="J40" i="36" s="1"/>
  <c r="E54" i="34"/>
  <c r="F54" i="34" s="1"/>
  <c r="E53" i="34"/>
  <c r="F53" i="34" s="1"/>
  <c r="D17" i="12"/>
  <c r="C17" i="12" s="1"/>
  <c r="C14" i="12"/>
  <c r="C16" i="12" s="1"/>
  <c r="D10" i="68"/>
  <c r="D10" i="11"/>
  <c r="C10" i="11" s="1"/>
  <c r="D20" i="12"/>
  <c r="C20" i="12" s="1"/>
  <c r="C18" i="12" s="1"/>
  <c r="D10" i="69"/>
  <c r="C20" i="11"/>
  <c r="C25" i="11" s="1"/>
  <c r="C24" i="11"/>
  <c r="C28" i="11"/>
  <c r="C27" i="11" s="1"/>
  <c r="I43" i="35"/>
  <c r="J43" i="35" s="1"/>
  <c r="C60" i="67"/>
  <c r="C66" i="67"/>
  <c r="I47" i="37"/>
  <c r="J47" i="37" s="1"/>
  <c r="E52" i="21"/>
  <c r="F52" i="21" s="1"/>
  <c r="E53" i="21"/>
  <c r="F53" i="21" s="1"/>
  <c r="C43" i="37"/>
  <c r="B2" i="37" s="1"/>
  <c r="B3" i="37" s="1"/>
  <c r="C42" i="37"/>
  <c r="L68" i="39"/>
  <c r="K70" i="39"/>
  <c r="C23" i="67"/>
  <c r="C29" i="67" s="1"/>
  <c r="C19" i="84"/>
  <c r="C19" i="83"/>
  <c r="G37" i="43" l="1"/>
  <c r="I37" i="43" s="1"/>
  <c r="E37" i="43"/>
  <c r="G39" i="88"/>
  <c r="I39" i="88" s="1"/>
  <c r="E39" i="88"/>
  <c r="G33" i="88"/>
  <c r="I33" i="88" s="1"/>
  <c r="E33" i="88"/>
  <c r="G34" i="88"/>
  <c r="I34" i="88" s="1"/>
  <c r="E34" i="88"/>
  <c r="E34" i="43"/>
  <c r="G34" i="43"/>
  <c r="I34" i="43" s="1"/>
  <c r="G38" i="88"/>
  <c r="I38" i="88" s="1"/>
  <c r="E38" i="88"/>
  <c r="G36" i="88"/>
  <c r="I36" i="88" s="1"/>
  <c r="E36" i="88"/>
  <c r="G37" i="88"/>
  <c r="I37" i="88" s="1"/>
  <c r="E37" i="88"/>
  <c r="G35" i="88"/>
  <c r="I35" i="88" s="1"/>
  <c r="E35" i="88"/>
  <c r="E29" i="88"/>
  <c r="C30" i="88"/>
  <c r="E30" i="88" s="1"/>
  <c r="E36" i="43"/>
  <c r="G36" i="43"/>
  <c r="I36" i="43" s="1"/>
  <c r="E35" i="43"/>
  <c r="G35" i="43"/>
  <c r="I35" i="43" s="1"/>
  <c r="G38" i="43"/>
  <c r="I38" i="43" s="1"/>
  <c r="E38" i="43"/>
  <c r="E33" i="43"/>
  <c r="G33" i="43"/>
  <c r="I33" i="43" s="1"/>
  <c r="E39" i="43"/>
  <c r="G39" i="43"/>
  <c r="I39" i="43" s="1"/>
  <c r="E29" i="43"/>
  <c r="C30" i="43"/>
  <c r="E30" i="43" s="1"/>
  <c r="R20" i="6"/>
  <c r="M19" i="83"/>
  <c r="C118" i="83" s="1"/>
  <c r="L19" i="83"/>
  <c r="C21" i="83" s="1"/>
  <c r="B3" i="34"/>
  <c r="C19" i="78"/>
  <c r="C20" i="78" s="1"/>
  <c r="C26" i="78" s="1"/>
  <c r="C102" i="84"/>
  <c r="C21" i="84"/>
  <c r="B3" i="35"/>
  <c r="C102" i="83"/>
  <c r="C33" i="78"/>
  <c r="J59" i="78"/>
  <c r="J60" i="78" s="1"/>
  <c r="B3" i="33"/>
  <c r="C57" i="79"/>
  <c r="C61" i="79" s="1"/>
  <c r="C36" i="79"/>
  <c r="Q49" i="79"/>
  <c r="J14" i="79"/>
  <c r="J13" i="79" s="1"/>
  <c r="J23" i="79" s="1"/>
  <c r="J59" i="79"/>
  <c r="J60" i="79" s="1"/>
  <c r="Q48" i="79" s="1"/>
  <c r="C33" i="79"/>
  <c r="C13" i="79"/>
  <c r="J19" i="79"/>
  <c r="H27" i="6"/>
  <c r="R7" i="1"/>
  <c r="D16" i="6"/>
  <c r="D30" i="6"/>
  <c r="R25" i="6"/>
  <c r="C57" i="67"/>
  <c r="C36" i="67"/>
  <c r="J14" i="67"/>
  <c r="Q49" i="67"/>
  <c r="J19" i="67"/>
  <c r="C33" i="67"/>
  <c r="C13" i="67"/>
  <c r="J59" i="67"/>
  <c r="J60" i="67" s="1"/>
  <c r="L70" i="39"/>
  <c r="M68" i="39"/>
  <c r="C10" i="69"/>
  <c r="C8" i="69" s="1"/>
  <c r="C5" i="69" s="1"/>
  <c r="D19" i="69"/>
  <c r="C21" i="12"/>
  <c r="L63" i="40"/>
  <c r="K65" i="40"/>
  <c r="R37" i="36"/>
  <c r="E36" i="36"/>
  <c r="H107" i="9"/>
  <c r="C8" i="71"/>
  <c r="D9" i="71"/>
  <c r="R21" i="6"/>
  <c r="R8" i="1" s="1"/>
  <c r="R23" i="6"/>
  <c r="R10" i="1" s="1"/>
  <c r="A7" i="51"/>
  <c r="B7" i="72" s="1"/>
  <c r="C4" i="52"/>
  <c r="B45" i="72" s="1"/>
  <c r="A10" i="51"/>
  <c r="B9" i="72" s="1"/>
  <c r="D27" i="6"/>
  <c r="D31" i="6" s="1"/>
  <c r="R19" i="6"/>
  <c r="C46" i="11"/>
  <c r="C45" i="11" s="1"/>
  <c r="C10" i="68"/>
  <c r="D19" i="68"/>
  <c r="C22" i="11"/>
  <c r="C31" i="11" s="1"/>
  <c r="J19" i="15"/>
  <c r="C33" i="15"/>
  <c r="C57" i="15"/>
  <c r="C13" i="15"/>
  <c r="Q49" i="15"/>
  <c r="J14" i="15"/>
  <c r="C36" i="15"/>
  <c r="J59" i="15"/>
  <c r="J60" i="15" s="1"/>
  <c r="R24" i="6"/>
  <c r="R22" i="6"/>
  <c r="R9" i="1" s="1"/>
  <c r="R26" i="6"/>
  <c r="D8" i="74"/>
  <c r="C41" i="11"/>
  <c r="E6" i="76"/>
  <c r="C20" i="83"/>
  <c r="C20" i="84"/>
  <c r="C27" i="43" l="1"/>
  <c r="C27" i="88"/>
  <c r="C26" i="43"/>
  <c r="B2" i="43" s="1"/>
  <c r="C6" i="68" s="1"/>
  <c r="C7" i="68" s="1"/>
  <c r="C5" i="68" s="1"/>
  <c r="C23" i="68" s="1"/>
  <c r="C26" i="88"/>
  <c r="B2" i="88" s="1"/>
  <c r="B3" i="88" s="1"/>
  <c r="E2" i="76"/>
  <c r="Q70" i="79"/>
  <c r="C23" i="78"/>
  <c r="C29" i="78" s="1"/>
  <c r="Q49" i="78" s="1"/>
  <c r="C103" i="84"/>
  <c r="C103" i="83"/>
  <c r="Q48" i="78"/>
  <c r="C37" i="79"/>
  <c r="C64" i="79"/>
  <c r="C75" i="79"/>
  <c r="C56" i="79"/>
  <c r="C65" i="79" s="1"/>
  <c r="J22" i="79"/>
  <c r="R13" i="1"/>
  <c r="R11" i="1"/>
  <c r="R12" i="1"/>
  <c r="C49" i="11"/>
  <c r="C51" i="11" s="1"/>
  <c r="C52" i="11" s="1"/>
  <c r="B2" i="11" s="1"/>
  <c r="B3" i="11" s="1"/>
  <c r="R27" i="6"/>
  <c r="R6" i="1"/>
  <c r="Q48" i="15"/>
  <c r="J22" i="15"/>
  <c r="J13" i="15"/>
  <c r="J23" i="15" s="1"/>
  <c r="C75" i="15"/>
  <c r="Q70" i="15"/>
  <c r="C56" i="15"/>
  <c r="C65" i="15" s="1"/>
  <c r="C37" i="15"/>
  <c r="I5" i="6"/>
  <c r="I6" i="6"/>
  <c r="C7" i="71"/>
  <c r="T8" i="71"/>
  <c r="D8" i="71"/>
  <c r="U8" i="71" s="1"/>
  <c r="H108" i="9"/>
  <c r="D15" i="53" s="1"/>
  <c r="B31" i="72" s="1"/>
  <c r="D122" i="9"/>
  <c r="D13" i="53"/>
  <c r="E40" i="36"/>
  <c r="F40" i="36" s="1"/>
  <c r="E41" i="36"/>
  <c r="F41" i="36" s="1"/>
  <c r="I41" i="36"/>
  <c r="J41" i="36" s="1"/>
  <c r="C22" i="12"/>
  <c r="C27" i="12" s="1"/>
  <c r="C25" i="12" s="1"/>
  <c r="C23" i="69"/>
  <c r="C37" i="67"/>
  <c r="C75" i="67"/>
  <c r="Q70" i="67"/>
  <c r="C56" i="67"/>
  <c r="C65" i="67" s="1"/>
  <c r="J22" i="67"/>
  <c r="J13" i="67"/>
  <c r="J23" i="67" s="1"/>
  <c r="C61" i="67"/>
  <c r="C64" i="67"/>
  <c r="C19" i="68"/>
  <c r="D37" i="68"/>
  <c r="C37" i="68" s="1"/>
  <c r="C33" i="68" s="1"/>
  <c r="C64" i="15"/>
  <c r="C61" i="15"/>
  <c r="C37" i="36"/>
  <c r="B2" i="36" s="1"/>
  <c r="B3" i="36" s="1"/>
  <c r="C36" i="36"/>
  <c r="L65" i="40"/>
  <c r="M63" i="40"/>
  <c r="C19" i="69"/>
  <c r="C24" i="69" s="1"/>
  <c r="D37" i="69"/>
  <c r="C37" i="69" s="1"/>
  <c r="C33" i="69" s="1"/>
  <c r="M70" i="39"/>
  <c r="N68" i="39"/>
  <c r="Q48" i="67"/>
  <c r="L46" i="67"/>
  <c r="M21" i="15"/>
  <c r="F35" i="15"/>
  <c r="M21" i="67"/>
  <c r="F35" i="67"/>
  <c r="B6" i="76"/>
  <c r="F35" i="79"/>
  <c r="M21" i="79"/>
  <c r="F35" i="78"/>
  <c r="M21" i="78"/>
  <c r="B2" i="76" l="1"/>
  <c r="B3" i="76" s="1"/>
  <c r="B3" i="43"/>
  <c r="C36" i="78"/>
  <c r="C13" i="78"/>
  <c r="J19" i="78"/>
  <c r="C57" i="78"/>
  <c r="J14" i="78"/>
  <c r="C56" i="78"/>
  <c r="C65" i="78" s="1"/>
  <c r="J20" i="79"/>
  <c r="J17" i="79" s="1"/>
  <c r="J16" i="79" s="1"/>
  <c r="J25" i="79" s="1"/>
  <c r="F63" i="79"/>
  <c r="C62" i="79" s="1"/>
  <c r="C59" i="79" s="1"/>
  <c r="C58" i="79" s="1"/>
  <c r="C67" i="79" s="1"/>
  <c r="C34" i="79"/>
  <c r="C31" i="79" s="1"/>
  <c r="C30" i="79" s="1"/>
  <c r="C39" i="79" s="1"/>
  <c r="J20" i="78"/>
  <c r="F63" i="78"/>
  <c r="C62" i="78" s="1"/>
  <c r="C34" i="78"/>
  <c r="C31" i="78" s="1"/>
  <c r="R16" i="1"/>
  <c r="F63" i="67"/>
  <c r="C62" i="67" s="1"/>
  <c r="C34" i="67"/>
  <c r="C31" i="67" s="1"/>
  <c r="J20" i="67"/>
  <c r="J17" i="67" s="1"/>
  <c r="J16" i="67" s="1"/>
  <c r="J25" i="67" s="1"/>
  <c r="C34" i="15"/>
  <c r="C31" i="15" s="1"/>
  <c r="C30" i="15" s="1"/>
  <c r="C39" i="15" s="1"/>
  <c r="Q69" i="15" s="1"/>
  <c r="Q68" i="15" s="1"/>
  <c r="F63" i="15"/>
  <c r="C62" i="15" s="1"/>
  <c r="C59" i="15" s="1"/>
  <c r="C58" i="15" s="1"/>
  <c r="C67" i="15" s="1"/>
  <c r="C68" i="15" s="1"/>
  <c r="J20" i="15"/>
  <c r="J17" i="15" s="1"/>
  <c r="J16" i="15" s="1"/>
  <c r="J25" i="15" s="1"/>
  <c r="C59" i="67"/>
  <c r="C58" i="67" s="1"/>
  <c r="C67" i="67" s="1"/>
  <c r="C68" i="67" s="1"/>
  <c r="C71" i="67" s="1"/>
  <c r="C30" i="67"/>
  <c r="C39" i="67" s="1"/>
  <c r="C40" i="67" s="1"/>
  <c r="O68" i="39"/>
  <c r="O70" i="39" s="1"/>
  <c r="N70" i="39"/>
  <c r="C39" i="69"/>
  <c r="C43" i="69" s="1"/>
  <c r="C42" i="69"/>
  <c r="M65" i="40"/>
  <c r="N63" i="40"/>
  <c r="C24" i="68"/>
  <c r="C20" i="68"/>
  <c r="C25" i="68" s="1"/>
  <c r="C20" i="69"/>
  <c r="C25" i="69" s="1"/>
  <c r="C22" i="69" s="1"/>
  <c r="C30" i="12"/>
  <c r="C28" i="12" s="1"/>
  <c r="C32" i="12" s="1"/>
  <c r="B2" i="12" s="1"/>
  <c r="B3" i="12" s="1"/>
  <c r="D14" i="53"/>
  <c r="B32" i="72" s="1"/>
  <c r="B30" i="72"/>
  <c r="C56" i="11"/>
  <c r="C57" i="11" s="1"/>
  <c r="H7" i="39"/>
  <c r="J7" i="39"/>
  <c r="F7" i="39"/>
  <c r="C42" i="68"/>
  <c r="C39" i="68"/>
  <c r="C43" i="68" s="1"/>
  <c r="G14" i="74"/>
  <c r="B6" i="74" s="1"/>
  <c r="D123" i="9"/>
  <c r="D9" i="52" s="1"/>
  <c r="D8" i="52"/>
  <c r="C6" i="71"/>
  <c r="D7" i="71"/>
  <c r="L51" i="15"/>
  <c r="L51" i="67"/>
  <c r="C75" i="78" l="1"/>
  <c r="J17" i="78"/>
  <c r="J22" i="78"/>
  <c r="J13" i="78"/>
  <c r="J23" i="78" s="1"/>
  <c r="C61" i="78"/>
  <c r="C59" i="78" s="1"/>
  <c r="C64" i="78"/>
  <c r="Q70" i="78"/>
  <c r="C37" i="78"/>
  <c r="C30" i="78" s="1"/>
  <c r="C39" i="78" s="1"/>
  <c r="C80" i="67"/>
  <c r="C79" i="67" s="1"/>
  <c r="Q69" i="67"/>
  <c r="Q68" i="67" s="1"/>
  <c r="Q69" i="79"/>
  <c r="Q68" i="79" s="1"/>
  <c r="C80" i="79"/>
  <c r="C79" i="79" s="1"/>
  <c r="C40" i="15"/>
  <c r="Q65" i="15" s="1"/>
  <c r="C80" i="15"/>
  <c r="C79" i="15" s="1"/>
  <c r="C45" i="67"/>
  <c r="C46" i="67" s="1"/>
  <c r="C41" i="69"/>
  <c r="C28" i="69"/>
  <c r="C27" i="69" s="1"/>
  <c r="C31" i="69" s="1"/>
  <c r="C28" i="68"/>
  <c r="C27" i="68" s="1"/>
  <c r="C46" i="68"/>
  <c r="C45" i="68" s="1"/>
  <c r="C41" i="68"/>
  <c r="Q67" i="15"/>
  <c r="L57" i="15"/>
  <c r="L60" i="15" s="1"/>
  <c r="L46" i="15" s="1"/>
  <c r="Q67" i="67"/>
  <c r="L57" i="67"/>
  <c r="L60" i="67" s="1"/>
  <c r="D6" i="74"/>
  <c r="C6" i="74"/>
  <c r="AB7" i="39"/>
  <c r="T47" i="39" s="1"/>
  <c r="G47" i="39" s="1"/>
  <c r="U7" i="39"/>
  <c r="C5" i="71"/>
  <c r="D6" i="71"/>
  <c r="C46" i="15"/>
  <c r="C71" i="15"/>
  <c r="AC7" i="39"/>
  <c r="V47" i="39" s="1"/>
  <c r="I47" i="39" s="1"/>
  <c r="W7" i="39"/>
  <c r="C22" i="68"/>
  <c r="N65" i="40"/>
  <c r="J7" i="40" s="1"/>
  <c r="O63" i="40"/>
  <c r="O65" i="40" s="1"/>
  <c r="C46" i="69"/>
  <c r="C45" i="69" s="1"/>
  <c r="S7" i="39"/>
  <c r="AA7" i="39"/>
  <c r="R47" i="39" s="1"/>
  <c r="Q56" i="67"/>
  <c r="C43" i="67"/>
  <c r="Q47" i="67"/>
  <c r="Q53" i="67" s="1"/>
  <c r="Q65" i="67"/>
  <c r="D2" i="67"/>
  <c r="C83" i="67"/>
  <c r="C82" i="67" s="1"/>
  <c r="L51" i="78"/>
  <c r="L51" i="79"/>
  <c r="C58" i="78" l="1"/>
  <c r="C67" i="78" s="1"/>
  <c r="C68" i="78" s="1"/>
  <c r="C71" i="78" s="1"/>
  <c r="J16" i="78"/>
  <c r="J25" i="78" s="1"/>
  <c r="Q69" i="78"/>
  <c r="Q68" i="78" s="1"/>
  <c r="C80" i="78"/>
  <c r="C79" i="78" s="1"/>
  <c r="C40" i="78"/>
  <c r="Q47" i="78" s="1"/>
  <c r="Q53" i="78" s="1"/>
  <c r="B2" i="15"/>
  <c r="B3" i="15" s="1"/>
  <c r="C43" i="15"/>
  <c r="Q47" i="15"/>
  <c r="Q53" i="15" s="1"/>
  <c r="C49" i="69"/>
  <c r="C51" i="69" s="1"/>
  <c r="C52" i="69" s="1"/>
  <c r="B2" i="69" s="1"/>
  <c r="B3" i="69" s="1"/>
  <c r="C83" i="15"/>
  <c r="C82" i="15" s="1"/>
  <c r="Q56" i="15"/>
  <c r="Q67" i="79"/>
  <c r="L57" i="79"/>
  <c r="L60" i="79" s="1"/>
  <c r="L46" i="79" s="1"/>
  <c r="Q67" i="78"/>
  <c r="L57" i="78"/>
  <c r="L60" i="78" s="1"/>
  <c r="L46" i="78" s="1"/>
  <c r="B2" i="78" s="1"/>
  <c r="C31" i="68"/>
  <c r="C49" i="68"/>
  <c r="C51" i="68" s="1"/>
  <c r="AC7" i="40"/>
  <c r="V42" i="40" s="1"/>
  <c r="I42" i="40" s="1"/>
  <c r="W7" i="40"/>
  <c r="Q66" i="67"/>
  <c r="Q75" i="67" s="1"/>
  <c r="Q57" i="67"/>
  <c r="Q62" i="67" s="1"/>
  <c r="Q66" i="15"/>
  <c r="Q75" i="15" s="1"/>
  <c r="Q57" i="15"/>
  <c r="B3" i="67"/>
  <c r="B2" i="67"/>
  <c r="R48" i="39"/>
  <c r="E47" i="39"/>
  <c r="I52" i="39" s="1"/>
  <c r="J52" i="39" s="1"/>
  <c r="H7" i="40"/>
  <c r="F7" i="40"/>
  <c r="I51" i="39"/>
  <c r="J51" i="39" s="1"/>
  <c r="D5" i="71"/>
  <c r="M20" i="43" s="1"/>
  <c r="G51" i="39"/>
  <c r="H51" i="39" s="1"/>
  <c r="G52" i="39"/>
  <c r="H52" i="39" s="1"/>
  <c r="AO6" i="1"/>
  <c r="AO11" i="1"/>
  <c r="AO7" i="1"/>
  <c r="D19" i="83"/>
  <c r="B11" i="70" l="1"/>
  <c r="C43" i="78"/>
  <c r="C46" i="78"/>
  <c r="Q65" i="78"/>
  <c r="C83" i="78"/>
  <c r="C82" i="78" s="1"/>
  <c r="Q56" i="78"/>
  <c r="D21" i="83"/>
  <c r="D102" i="83"/>
  <c r="D22" i="83"/>
  <c r="G19" i="83"/>
  <c r="C52" i="68"/>
  <c r="C57" i="68" s="1"/>
  <c r="C56" i="68" s="1"/>
  <c r="B7" i="70"/>
  <c r="Q62" i="15"/>
  <c r="B6" i="70"/>
  <c r="B3" i="78"/>
  <c r="Q66" i="79"/>
  <c r="Q57" i="79"/>
  <c r="Q66" i="78"/>
  <c r="Q75" i="78" s="1"/>
  <c r="Q57" i="78"/>
  <c r="C57" i="69"/>
  <c r="C56" i="69" s="1"/>
  <c r="AA7" i="40"/>
  <c r="R42" i="40" s="1"/>
  <c r="S7" i="40"/>
  <c r="E52" i="39"/>
  <c r="F52" i="39" s="1"/>
  <c r="E51" i="39"/>
  <c r="F51" i="39" s="1"/>
  <c r="U7" i="40"/>
  <c r="AB7" i="40"/>
  <c r="T42" i="40" s="1"/>
  <c r="G42" i="40" s="1"/>
  <c r="C48" i="39"/>
  <c r="C47" i="39"/>
  <c r="I46" i="40"/>
  <c r="J46" i="40" s="1"/>
  <c r="D20" i="83"/>
  <c r="Q62" i="78" l="1"/>
  <c r="B2" i="68"/>
  <c r="D103" i="83"/>
  <c r="G20" i="83"/>
  <c r="R24" i="31" s="1"/>
  <c r="C32" i="83"/>
  <c r="G21" i="83"/>
  <c r="G47" i="40"/>
  <c r="H47" i="40" s="1"/>
  <c r="G46" i="40"/>
  <c r="H4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C19" i="9"/>
  <c r="C102" i="9" l="1"/>
  <c r="C21" i="9"/>
  <c r="B3" i="68"/>
  <c r="S24" i="31"/>
  <c r="D16" i="74" s="1"/>
  <c r="R25" i="31"/>
  <c r="S25" i="31" s="1"/>
  <c r="D17" i="74" s="1"/>
  <c r="C35" i="83"/>
  <c r="F118" i="83" s="1"/>
  <c r="H118" i="83"/>
  <c r="C42" i="40"/>
  <c r="C43" i="40"/>
  <c r="E47" i="40"/>
  <c r="F47" i="40" s="1"/>
  <c r="E46" i="40"/>
  <c r="F46" i="40" s="1"/>
  <c r="I47" i="40"/>
  <c r="J47" i="40" s="1"/>
  <c r="C20" i="9"/>
  <c r="C103" i="9" l="1"/>
  <c r="H17" i="74"/>
  <c r="E17" i="74"/>
  <c r="F17" i="74"/>
  <c r="H16" i="74"/>
  <c r="E16" i="74"/>
  <c r="F16" i="74"/>
  <c r="S22" i="31"/>
  <c r="C34" i="83"/>
  <c r="D118" i="83" s="1"/>
  <c r="D119" i="83" s="1"/>
  <c r="I118" i="83"/>
  <c r="C104" i="83"/>
  <c r="H119" i="83"/>
  <c r="H101" i="83"/>
  <c r="F119" i="83"/>
  <c r="G118" i="83"/>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R22" i="31" l="1"/>
  <c r="B21" i="31" s="1"/>
  <c r="B20" i="31"/>
  <c r="I5" i="87" s="1"/>
  <c r="E118" i="83"/>
  <c r="C105" i="83"/>
  <c r="H102" i="83"/>
  <c r="D45" i="83"/>
  <c r="M48" i="83"/>
  <c r="H109" i="83"/>
  <c r="G5" i="87" l="1"/>
  <c r="H5" i="87" s="1"/>
  <c r="J5" i="87"/>
  <c r="D124" i="83"/>
  <c r="D125" i="83" s="1"/>
  <c r="H110" i="83"/>
  <c r="M49" i="83"/>
  <c r="C78" i="83"/>
  <c r="C73" i="83" s="1"/>
  <c r="D52" i="83"/>
  <c r="C93" i="83"/>
  <c r="C86" i="83" s="1"/>
  <c r="C85" i="83"/>
  <c r="C72" i="83"/>
  <c r="C79" i="83" s="1"/>
  <c r="C64" i="83"/>
  <c r="C63" i="83" s="1"/>
  <c r="C67" i="83" s="1"/>
  <c r="C68" i="83" s="1"/>
  <c r="D54" i="83" s="1"/>
  <c r="D55" i="83"/>
  <c r="M53" i="83" s="1"/>
  <c r="D53" i="83"/>
  <c r="C95" i="83" l="1"/>
  <c r="C80" i="83"/>
  <c r="E80" i="83" s="1"/>
  <c r="E81" i="83" s="1"/>
  <c r="C96" i="83"/>
  <c r="E96" i="83" s="1"/>
  <c r="E97" i="83" s="1"/>
  <c r="L66" i="83"/>
  <c r="M66" i="83" s="1"/>
  <c r="L65" i="83"/>
  <c r="M65" i="83" s="1"/>
  <c r="L64" i="83"/>
  <c r="M64" i="83" s="1"/>
  <c r="L68" i="83"/>
  <c r="M68" i="83" s="1"/>
  <c r="L67" i="83"/>
  <c r="M67" i="83" s="1"/>
  <c r="L63" i="83"/>
  <c r="M63" i="83" s="1"/>
  <c r="M69" i="83" l="1"/>
  <c r="N69" i="83" s="1"/>
  <c r="C97" i="83"/>
  <c r="D58" i="83" s="1"/>
  <c r="D56" i="83" s="1"/>
  <c r="M54" i="83" s="1"/>
  <c r="N57" i="83" s="1"/>
  <c r="C81" i="83"/>
  <c r="N58" i="83" l="1"/>
  <c r="P57" i="83"/>
  <c r="N59" i="83"/>
  <c r="N61" i="83" l="1"/>
  <c r="N60" i="83"/>
  <c r="AE9" i="1"/>
  <c r="F41" i="79"/>
  <c r="F69" i="79" l="1"/>
  <c r="C68" i="79" s="1"/>
  <c r="J29" i="79"/>
  <c r="C40" i="79"/>
  <c r="C43" i="79" l="1"/>
  <c r="Q56" i="79"/>
  <c r="Q62" i="79" s="1"/>
  <c r="C83" i="79"/>
  <c r="C82" i="79" s="1"/>
  <c r="Q47" i="79"/>
  <c r="Q53" i="79" s="1"/>
  <c r="Q65" i="79"/>
  <c r="Q75" i="79" s="1"/>
  <c r="B2" i="79"/>
  <c r="C46" i="79"/>
  <c r="C71" i="79"/>
  <c r="D19" i="84"/>
  <c r="AO9" i="1"/>
  <c r="B9" i="70" l="1"/>
  <c r="B2" i="70" s="1"/>
  <c r="D102" i="84"/>
  <c r="D21" i="84"/>
  <c r="D22" i="84"/>
  <c r="G19" i="84"/>
  <c r="D18" i="74" s="1"/>
  <c r="B3" i="79"/>
  <c r="D20" i="84"/>
  <c r="D19" i="9"/>
  <c r="D22" i="9" l="1"/>
  <c r="D21" i="9"/>
  <c r="G19" i="9"/>
  <c r="D102" i="9"/>
  <c r="B3" i="70"/>
  <c r="H18" i="74"/>
  <c r="E18" i="74"/>
  <c r="F18" i="74"/>
  <c r="D103" i="84"/>
  <c r="G20" i="84"/>
  <c r="G21" i="84"/>
  <c r="C32" i="84"/>
  <c r="D20" i="9"/>
  <c r="D103" i="9" l="1"/>
  <c r="G20" i="9"/>
  <c r="R24" i="77" s="1"/>
  <c r="C32" i="9"/>
  <c r="G21" i="9"/>
  <c r="C35" i="84"/>
  <c r="F118" i="84" s="1"/>
  <c r="H118" i="84"/>
  <c r="I7" i="87" s="1"/>
  <c r="G7" i="87" s="1"/>
  <c r="J7" i="87" l="1"/>
  <c r="H7" i="87"/>
  <c r="R44" i="77"/>
  <c r="S44" i="77" s="1"/>
  <c r="R40" i="77"/>
  <c r="S40" i="77" s="1"/>
  <c r="R36" i="77"/>
  <c r="S36" i="77" s="1"/>
  <c r="R32" i="77"/>
  <c r="S32" i="77" s="1"/>
  <c r="R28" i="77"/>
  <c r="S28" i="77" s="1"/>
  <c r="R47" i="77"/>
  <c r="S47" i="77" s="1"/>
  <c r="R43" i="77"/>
  <c r="S43" i="77" s="1"/>
  <c r="R39" i="77"/>
  <c r="S39" i="77" s="1"/>
  <c r="R35" i="77"/>
  <c r="S35" i="77" s="1"/>
  <c r="R31" i="77"/>
  <c r="S31" i="77" s="1"/>
  <c r="R27" i="77"/>
  <c r="S27" i="77" s="1"/>
  <c r="R25" i="77"/>
  <c r="S25" i="77" s="1"/>
  <c r="R46" i="77"/>
  <c r="S46" i="77" s="1"/>
  <c r="R42" i="77"/>
  <c r="S42" i="77" s="1"/>
  <c r="R38" i="77"/>
  <c r="S38" i="77" s="1"/>
  <c r="R34" i="77"/>
  <c r="S34" i="77" s="1"/>
  <c r="R30" i="77"/>
  <c r="S30" i="77" s="1"/>
  <c r="R26" i="77"/>
  <c r="S26" i="77" s="1"/>
  <c r="R45" i="77"/>
  <c r="S45" i="77" s="1"/>
  <c r="R41" i="77"/>
  <c r="S41" i="77" s="1"/>
  <c r="R37" i="77"/>
  <c r="S37" i="77" s="1"/>
  <c r="R33" i="77"/>
  <c r="S33" i="77" s="1"/>
  <c r="R29" i="77"/>
  <c r="S29" i="77" s="1"/>
  <c r="S24" i="77"/>
  <c r="C35" i="9"/>
  <c r="F118" i="9" s="1"/>
  <c r="H118" i="9"/>
  <c r="C34" i="9"/>
  <c r="D118" i="9" s="1"/>
  <c r="E7" i="87"/>
  <c r="F119" i="84"/>
  <c r="G118" i="84"/>
  <c r="H119" i="84"/>
  <c r="I118" i="84"/>
  <c r="C104" i="84"/>
  <c r="H101" i="84"/>
  <c r="C34" i="84"/>
  <c r="D118" i="84" s="1"/>
  <c r="D119" i="84" s="1"/>
  <c r="S22" i="77" l="1"/>
  <c r="D14" i="74"/>
  <c r="I118" i="9"/>
  <c r="H119" i="9"/>
  <c r="H5" i="52" s="1"/>
  <c r="H101" i="9"/>
  <c r="H4" i="52"/>
  <c r="C104" i="9"/>
  <c r="D4" i="52"/>
  <c r="B47" i="72" s="1"/>
  <c r="D119" i="9"/>
  <c r="D5" i="52" s="1"/>
  <c r="B49" i="72" s="1"/>
  <c r="G118" i="9"/>
  <c r="G4" i="52" s="1"/>
  <c r="B52" i="72" s="1"/>
  <c r="F4" i="52"/>
  <c r="B51" i="72" s="1"/>
  <c r="F119" i="9"/>
  <c r="F5" i="52" s="1"/>
  <c r="B53" i="72" s="1"/>
  <c r="F7" i="87"/>
  <c r="M48" i="84"/>
  <c r="H109" i="84"/>
  <c r="D45" i="84"/>
  <c r="E118" i="84"/>
  <c r="H102" i="84"/>
  <c r="C105" i="84"/>
  <c r="B20" i="77" l="1"/>
  <c r="R22" i="77"/>
  <c r="B21" i="77" s="1"/>
  <c r="M48" i="9"/>
  <c r="D45" i="9"/>
  <c r="H109" i="9"/>
  <c r="D5" i="53"/>
  <c r="C105" i="9"/>
  <c r="H102" i="9"/>
  <c r="D7" i="53" s="1"/>
  <c r="B21" i="72" s="1"/>
  <c r="E118" i="9"/>
  <c r="E4" i="52" s="1"/>
  <c r="B48" i="72" s="1"/>
  <c r="I4" i="52"/>
  <c r="E14" i="74"/>
  <c r="F14" i="74"/>
  <c r="D124" i="84"/>
  <c r="D125" i="84" s="1"/>
  <c r="M49" i="84"/>
  <c r="H110" i="84"/>
  <c r="D52" i="84"/>
  <c r="C64" i="84"/>
  <c r="C63" i="84" s="1"/>
  <c r="C67" i="84" s="1"/>
  <c r="C68" i="84" s="1"/>
  <c r="D54" i="84" s="1"/>
  <c r="C85" i="84"/>
  <c r="D53" i="84"/>
  <c r="C78" i="84"/>
  <c r="C73" i="84" s="1"/>
  <c r="C93" i="84"/>
  <c r="C86" i="84" s="1"/>
  <c r="C72" i="84"/>
  <c r="D55" i="84"/>
  <c r="M53" i="84" s="1"/>
  <c r="D15" i="74" l="1"/>
  <c r="I6" i="87"/>
  <c r="D6" i="53"/>
  <c r="B22" i="72" s="1"/>
  <c r="B20" i="72"/>
  <c r="C64" i="9"/>
  <c r="C63" i="9" s="1"/>
  <c r="C67" i="9" s="1"/>
  <c r="C68" i="9" s="1"/>
  <c r="D54" i="9" s="1"/>
  <c r="C93" i="9"/>
  <c r="C86" i="9" s="1"/>
  <c r="D55" i="9"/>
  <c r="M53" i="9" s="1"/>
  <c r="C72" i="9"/>
  <c r="C78" i="9"/>
  <c r="C73" i="9" s="1"/>
  <c r="C85" i="9"/>
  <c r="C95" i="9" s="1"/>
  <c r="D53" i="9"/>
  <c r="D52" i="9"/>
  <c r="M49" i="9"/>
  <c r="D16" i="53"/>
  <c r="H110" i="9"/>
  <c r="D18" i="53" s="1"/>
  <c r="B35" i="72" s="1"/>
  <c r="D124" i="9"/>
  <c r="C79" i="84"/>
  <c r="C80" i="84" s="1"/>
  <c r="E80" i="84" s="1"/>
  <c r="E81" i="84" s="1"/>
  <c r="C95" i="84"/>
  <c r="L68" i="84"/>
  <c r="M68" i="84" s="1"/>
  <c r="L64" i="84"/>
  <c r="M64" i="84" s="1"/>
  <c r="L65" i="84"/>
  <c r="M65" i="84" s="1"/>
  <c r="L66" i="84"/>
  <c r="M66" i="84" s="1"/>
  <c r="L67" i="84"/>
  <c r="M67" i="84" s="1"/>
  <c r="L63" i="84"/>
  <c r="M63" i="84" s="1"/>
  <c r="G6" i="87" l="1"/>
  <c r="H6" i="87" s="1"/>
  <c r="J6" i="87"/>
  <c r="I8" i="87"/>
  <c r="I9" i="87" s="1"/>
  <c r="E13" i="87" s="1"/>
  <c r="H15" i="74"/>
  <c r="F15" i="74"/>
  <c r="E15" i="74"/>
  <c r="B5" i="74"/>
  <c r="H14" i="74"/>
  <c r="B7" i="74" s="1"/>
  <c r="D10" i="52"/>
  <c r="D125" i="9"/>
  <c r="D11" i="52" s="1"/>
  <c r="D17" i="53"/>
  <c r="B36" i="72" s="1"/>
  <c r="B34" i="72"/>
  <c r="C96" i="9"/>
  <c r="E96" i="9" s="1"/>
  <c r="E97" i="9" s="1"/>
  <c r="C79" i="9"/>
  <c r="L65" i="9"/>
  <c r="M65" i="9" s="1"/>
  <c r="L66" i="9"/>
  <c r="M66" i="9" s="1"/>
  <c r="L68" i="9"/>
  <c r="M68" i="9" s="1"/>
  <c r="L67" i="9"/>
  <c r="M67" i="9" s="1"/>
  <c r="L64" i="9"/>
  <c r="M64" i="9" s="1"/>
  <c r="L63" i="9"/>
  <c r="M63" i="9" s="1"/>
  <c r="M69" i="84"/>
  <c r="N69" i="84" s="1"/>
  <c r="C81" i="84"/>
  <c r="C96" i="84"/>
  <c r="E96" i="84" s="1"/>
  <c r="E97" i="84" s="1"/>
  <c r="E6" i="87" l="1"/>
  <c r="D5" i="74"/>
  <c r="C5" i="74"/>
  <c r="F6" i="87"/>
  <c r="C97" i="9"/>
  <c r="D58" i="9" s="1"/>
  <c r="D56" i="9" s="1"/>
  <c r="M54" i="9" s="1"/>
  <c r="N57" i="9" s="1"/>
  <c r="N59" i="9" s="1"/>
  <c r="N60" i="9" s="1"/>
  <c r="M69" i="9"/>
  <c r="N69" i="9" s="1"/>
  <c r="C80" i="9"/>
  <c r="E80" i="9" s="1"/>
  <c r="E81" i="9" s="1"/>
  <c r="D7" i="74"/>
  <c r="C7" i="74"/>
  <c r="C97" i="84"/>
  <c r="D58" i="84" s="1"/>
  <c r="D56" i="84" s="1"/>
  <c r="M54" i="84" s="1"/>
  <c r="N57" i="84" s="1"/>
  <c r="P57" i="84" s="1"/>
  <c r="N58" i="9" l="1"/>
  <c r="N61" i="9"/>
  <c r="P57" i="9"/>
  <c r="C81" i="9"/>
  <c r="N58" i="84"/>
  <c r="N59" i="84"/>
  <c r="N61" i="84" s="1"/>
  <c r="N60" i="84" l="1"/>
  <c r="E5" i="87"/>
  <c r="F5" i="87" s="1"/>
  <c r="G8" i="87"/>
  <c r="G9" i="87" s="1"/>
  <c r="E8" i="87" l="1"/>
  <c r="E9" i="8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<sst xmlns="http://schemas.openxmlformats.org/spreadsheetml/2006/main" count="9857" uniqueCount="3442">
  <si>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</si>
  <si>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</si>
  <si>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</si>
  <si>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</si>
  <si>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</si>
  <si>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</si>
  <si>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</si>
  <si>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</si>
  <si>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</si>
  <si>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</si>
  <si>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</si>
  <si>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</si>
  <si>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</si>
  <si>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</si>
  <si>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</si>
  <si>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</si>
  <si>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</si>
  <si>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</si>
  <si>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</si>
  <si>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</si>
  <si>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</si>
  <si>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</si>
  <si>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</si>
  <si>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</si>
  <si>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</si>
  <si>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</si>
  <si>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</si>
  <si>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</si>
  <si>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</si>
  <si>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</si>
  <si>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</si>
  <si>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</si>
  <si>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</si>
  <si>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</si>
  <si>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</si>
  <si>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</si>
  <si>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</si>
  <si>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</si>
  <si>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</si>
  <si>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</si>
  <si>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</si>
  <si>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</si>
  <si>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</si>
  <si>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</si>
  <si>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</si>
  <si>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</si>
  <si>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</si>
  <si>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</si>
  <si>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</si>
  <si>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</si>
  <si>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</si>
  <si>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</si>
  <si>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</si>
  <si>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</si>
  <si>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</si>
  <si>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</si>
  <si>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</si>
  <si>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</si>
  <si>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</si>
  <si>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</si>
  <si>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</si>
  <si>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</si>
  <si>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</si>
  <si>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</si>
  <si>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</si>
  <si>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</si>
  <si>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</si>
  <si>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</si>
  <si>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</si>
  <si>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</si>
  <si>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</si>
  <si>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</si>
  <si>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</si>
  <si>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</si>
  <si>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</si>
  <si>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</si>
  <si>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</si>
  <si>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</si>
  <si>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</si>
  <si>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</si>
  <si>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</si>
  <si>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</si>
  <si>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</si>
  <si>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</si>
  <si>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</si>
  <si>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</si>
  <si>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</si>
  <si>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</si>
  <si>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</si>
  <si>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</si>
  <si>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</si>
  <si>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</si>
  <si>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</si>
  <si>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</si>
  <si>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</si>
  <si>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</si>
  <si>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</si>
  <si>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</si>
  <si>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</si>
  <si>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</si>
  <si>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</si>
  <si>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</si>
  <si>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</si>
  <si>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</si>
  <si>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</si>
  <si>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</si>
  <si>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</si>
  <si>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</si>
  <si>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</si>
  <si>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</si>
  <si>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</si>
  <si>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</si>
  <si>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</si>
  <si>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</si>
  <si>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</si>
  <si>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</si>
  <si>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</si>
  <si>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</si>
  <si>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</si>
  <si>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</si>
  <si>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</si>
  <si>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</si>
  <si>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</si>
  <si>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</si>
  <si>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</si>
  <si>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</si>
  <si>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</si>
  <si>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</si>
  <si>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</si>
  <si>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</si>
  <si>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</si>
  <si>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</si>
  <si>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</si>
  <si>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</si>
  <si>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</si>
  <si>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</si>
  <si>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</si>
  <si>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</si>
  <si>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</si>
  <si>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</si>
  <si>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</si>
  <si>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</si>
  <si>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</si>
  <si>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</si>
  <si>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</si>
  <si>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</si>
  <si>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</si>
  <si>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</si>
  <si>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</si>
  <si>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</si>
  <si>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</si>
  <si>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</si>
  <si>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</si>
  <si>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</si>
  <si>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</si>
  <si>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</si>
  <si>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</si>
  <si>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</si>
  <si>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</si>
  <si>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</si>
  <si>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</si>
  <si>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</si>
  <si>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</si>
  <si>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</si>
  <si>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</si>
  <si>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</si>
  <si>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</si>
  <si>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</si>
  <si>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</si>
  <si>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</si>
  <si>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</si>
  <si>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</si>
  <si>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</si>
  <si>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</si>
  <si>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</si>
  <si>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</si>
  <si>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</si>
  <si>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</si>
  <si>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</si>
  <si>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</si>
  <si>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</si>
  <si>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</si>
  <si>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</si>
  <si>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</si>
  <si>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</si>
  <si>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</si>
  <si>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</si>
  <si>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</si>
  <si>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</si>
  <si>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</si>
  <si>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</si>
  <si>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</si>
  <si>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</si>
  <si>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</si>
  <si>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</si>
  <si>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</si>
  <si>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</si>
  <si>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</si>
  <si>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</si>
  <si>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</si>
  <si>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</si>
  <si>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</si>
  <si>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</si>
  <si>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</si>
  <si>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</si>
  <si>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</si>
  <si>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</si>
  <si>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</si>
  <si>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</si>
  <si>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</si>
  <si>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</si>
  <si>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</si>
  <si>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</si>
  <si>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</si>
  <si>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</si>
  <si>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</si>
  <si>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</si>
  <si>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</si>
  <si>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</si>
  <si>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</si>
  <si>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</si>
  <si>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</si>
  <si>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</si>
  <si>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</si>
  <si>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</si>
  <si>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</si>
  <si>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</si>
  <si>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</si>
  <si>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</si>
  <si>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</si>
  <si>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</si>
  <si>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</si>
  <si>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</si>
  <si>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</si>
  <si>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</si>
  <si>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</si>
  <si>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</si>
  <si>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</si>
  <si>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</si>
  <si>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</si>
  <si>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</si>
  <si>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</si>
  <si>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</si>
  <si>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</si>
  <si>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</si>
  <si>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</si>
  <si>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</si>
  <si>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</si>
  <si>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</si>
  <si>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</si>
  <si>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</si>
  <si>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</si>
  <si>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</si>
  <si>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</si>
  <si>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</si>
  <si>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</si>
  <si>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</si>
  <si>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</si>
  <si>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</si>
  <si>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</si>
  <si>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</si>
  <si>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</si>
  <si>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</si>
  <si>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</si>
  <si>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</si>
  <si>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</si>
  <si>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</si>
  <si>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</si>
  <si>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</si>
  <si>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</si>
  <si>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</si>
  <si>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</si>
  <si>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</si>
  <si>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</si>
  <si>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</si>
  <si>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</si>
  <si>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</si>
  <si>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</si>
  <si>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</si>
  <si>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</si>
  <si>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</si>
  <si>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</si>
  <si>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</si>
  <si>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</si>
  <si>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</si>
  <si>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</si>
  <si>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</si>
  <si>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</si>
  <si>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</si>
  <si>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</si>
  <si>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</si>
  <si>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</si>
  <si>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</si>
  <si>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</si>
  <si>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</si>
  <si>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</si>
  <si>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</si>
  <si>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</si>
  <si>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</si>
  <si>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</si>
  <si>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</si>
  <si>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</si>
  <si>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</si>
  <si>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</si>
  <si>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</si>
  <si>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</si>
  <si>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</si>
  <si>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</si>
  <si>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</si>
  <si>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</si>
  <si>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</si>
  <si>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</si>
  <si>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</si>
  <si>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</si>
  <si>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</si>
  <si>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</si>
  <si>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</si>
  <si>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</si>
  <si>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</si>
  <si>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</si>
  <si>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</si>
  <si>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</si>
  <si>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</si>
  <si>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</si>
  <si>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</si>
  <si>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</si>
  <si>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</si>
  <si>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</si>
  <si>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</si>
  <si>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</si>
  <si>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</si>
  <si>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</si>
  <si>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</si>
  <si>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</si>
  <si>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</si>
  <si>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</si>
  <si>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</si>
  <si>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</si>
  <si>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</si>
  <si>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</si>
  <si>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</si>
  <si>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</si>
  <si>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</si>
  <si>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</si>
  <si>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</si>
  <si>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</si>
  <si>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</si>
  <si>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</si>
  <si>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</si>
  <si>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</si>
  <si>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</si>
  <si>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</si>
  <si>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</si>
  <si>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</si>
  <si>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</si>
  <si>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</si>
  <si>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</si>
  <si>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</si>
  <si>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</si>
  <si>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</si>
  <si>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</si>
  <si>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</si>
  <si>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</si>
  <si>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</si>
  <si>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</si>
  <si>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</si>
  <si>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</si>
  <si>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</si>
  <si>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</si>
  <si>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</si>
  <si>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</si>
  <si>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</si>
  <si>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</si>
  <si>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</si>
  <si>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</si>
  <si>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</si>
  <si>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</si>
  <si>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</si>
  <si>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</si>
  <si>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</si>
  <si>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</si>
  <si>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</si>
  <si>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</si>
  <si>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</si>
  <si>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</si>
  <si>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</si>
  <si>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</si>
  <si>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</si>
  <si>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</si>
  <si>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</si>
  <si>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</si>
  <si>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</si>
  <si>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</si>
  <si>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</si>
  <si>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</si>
  <si>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</si>
  <si>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</si>
  <si>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</si>
  <si>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</si>
  <si>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</si>
  <si>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</si>
  <si>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</si>
  <si>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</si>
  <si>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</si>
  <si>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</si>
  <si>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</si>
  <si>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</si>
  <si>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</si>
  <si>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</si>
  <si>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</si>
  <si>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</si>
  <si>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</si>
  <si>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</si>
  <si>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</si>
  <si>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</si>
  <si>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</si>
  <si>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</si>
  <si>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</si>
  <si>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</si>
  <si>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</si>
  <si>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</si>
  <si>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</si>
  <si>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</si>
  <si>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</si>
  <si>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</si>
  <si>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</si>
  <si>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</si>
  <si>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</si>
  <si>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</si>
  <si>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</si>
  <si>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</si>
  <si>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</si>
  <si>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</si>
  <si>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</si>
  <si>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</si>
  <si>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</si>
  <si>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</si>
  <si>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</si>
  <si>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</si>
  <si>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</si>
  <si>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</si>
  <si>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</si>
  <si>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</si>
  <si>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</si>
  <si>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</si>
  <si>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</si>
  <si>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</si>
  <si>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</si>
  <si>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</si>
  <si>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</si>
  <si>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</si>
  <si>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</si>
  <si>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</si>
  <si>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</si>
  <si>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</si>
  <si>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</si>
  <si>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</si>
  <si>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</si>
  <si>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</si>
  <si>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</si>
  <si>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</si>
  <si>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</si>
  <si>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</si>
  <si>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</si>
  <si>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</si>
  <si>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</si>
  <si>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</si>
  <si>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</si>
  <si>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</si>
  <si>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</si>
  <si>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</si>
  <si>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</si>
  <si>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</si>
  <si>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</si>
  <si>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</si>
  <si>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</si>
  <si>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</si>
  <si>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</si>
  <si>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</si>
  <si>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</si>
  <si>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</si>
  <si>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</si>
  <si>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</si>
  <si>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</si>
  <si>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</si>
  <si>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</si>
  <si>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</si>
  <si>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</si>
  <si>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</si>
  <si>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</si>
  <si>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</si>
  <si>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</si>
  <si>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</si>
  <si>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</si>
  <si>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</si>
  <si>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</si>
  <si>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</si>
  <si>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</si>
  <si>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</si>
  <si>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</si>
  <si>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</si>
  <si>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</si>
  <si>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</si>
  <si>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</si>
  <si>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</si>
  <si>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</si>
  <si>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</si>
  <si>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</si>
  <si>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</si>
  <si>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</si>
  <si>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</si>
  <si>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</si>
  <si>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</si>
  <si>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</si>
  <si>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</si>
  <si>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</si>
  <si>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</si>
  <si>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</si>
  <si>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</si>
  <si>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</si>
  <si>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</si>
  <si>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</si>
  <si>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</si>
  <si>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</si>
  <si>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</si>
  <si>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</si>
  <si>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</si>
  <si>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</si>
  <si>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</si>
  <si>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</si>
  <si>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</si>
  <si>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</si>
  <si>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</si>
  <si>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</si>
  <si>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</si>
  <si>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</si>
  <si>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</si>
  <si>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</si>
  <si>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</si>
  <si>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</si>
  <si>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</si>
  <si>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</si>
  <si>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</si>
  <si>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</si>
  <si>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</si>
  <si>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</si>
  <si>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</si>
  <si>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</si>
  <si>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</si>
  <si>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</si>
  <si>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</si>
  <si>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</si>
  <si>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</si>
  <si>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</si>
  <si>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</si>
  <si>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</si>
  <si>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</si>
  <si>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</si>
  <si>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</si>
  <si>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</si>
  <si>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</si>
  <si>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</si>
  <si>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</si>
  <si>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</si>
  <si>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</si>
  <si>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</si>
  <si>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</si>
  <si>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</si>
  <si>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</si>
  <si>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</si>
  <si>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</si>
  <si>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</si>
  <si>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</si>
  <si>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</si>
  <si>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</si>
  <si>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</si>
  <si>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</si>
  <si>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</si>
  <si>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</si>
  <si>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</si>
  <si>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</si>
  <si>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</si>
  <si>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</si>
  <si>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</si>
  <si>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</si>
  <si>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</si>
  <si>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</si>
  <si>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</si>
  <si>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</si>
  <si>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</si>
  <si>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</si>
  <si>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</si>
  <si>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</si>
  <si>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</si>
  <si>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</si>
  <si>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</si>
  <si>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</si>
  <si>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</si>
  <si>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</si>
  <si>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</si>
  <si>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</si>
  <si>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</si>
  <si>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</si>
  <si>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</si>
  <si>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</si>
  <si>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</si>
  <si>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</si>
  <si>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</si>
  <si>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</si>
  <si>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</si>
  <si>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</si>
  <si>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</si>
  <si>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</si>
  <si>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</si>
  <si>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</si>
  <si>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</si>
  <si>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</si>
  <si>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</si>
  <si>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</si>
  <si>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</si>
  <si>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</si>
  <si>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</si>
  <si>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</si>
  <si>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</si>
  <si>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</si>
  <si>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</si>
  <si>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</si>
  <si>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</si>
  <si>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</si>
  <si>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</si>
  <si>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</si>
  <si>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</si>
  <si>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</si>
  <si>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</si>
  <si>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</si>
  <si>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</si>
  <si>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</si>
  <si>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</si>
  <si>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</si>
  <si>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</si>
  <si>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</si>
  <si>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</si>
  <si>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</si>
  <si>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</si>
  <si>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</si>
  <si>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</si>
  <si>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</si>
  <si>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</si>
  <si>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</si>
  <si>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</si>
  <si>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</si>
  <si>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</si>
  <si>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</si>
  <si>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</si>
  <si>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</si>
  <si>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</si>
  <si>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</si>
  <si>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</si>
  <si>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</si>
  <si>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</si>
  <si>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</si>
  <si>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</si>
  <si>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</si>
  <si>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</si>
  <si>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</si>
  <si>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</si>
  <si>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</si>
  <si>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</si>
  <si>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</si>
  <si>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</si>
  <si>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</si>
  <si>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</si>
  <si>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</si>
  <si>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</si>
  <si>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</si>
  <si>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</si>
  <si>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</si>
  <si>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</si>
  <si>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</si>
  <si>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</si>
  <si>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</si>
  <si>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</si>
  <si>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</si>
  <si>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</si>
  <si>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</si>
  <si>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</si>
  <si>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</si>
  <si>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</si>
  <si>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</si>
  <si>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</si>
  <si>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</si>
  <si>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</si>
  <si>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</si>
  <si>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</si>
  <si>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</si>
  <si>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</si>
  <si>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</si>
  <si>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</si>
  <si>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</si>
  <si>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</si>
  <si>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</si>
  <si>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</si>
  <si>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</si>
  <si>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</si>
  <si>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</si>
  <si>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</si>
  <si>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</si>
  <si>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</si>
  <si>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</si>
  <si>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</si>
  <si>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</si>
  <si>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</si>
  <si>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</si>
  <si>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</si>
  <si>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</si>
  <si>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</si>
  <si>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</si>
  <si>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</si>
  <si>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</si>
  <si>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</si>
  <si>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</si>
  <si>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</si>
  <si>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</si>
  <si>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</si>
  <si>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</si>
  <si>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</si>
  <si>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</si>
  <si>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</si>
  <si>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</si>
  <si>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</si>
  <si>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</si>
  <si>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</si>
  <si>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</si>
  <si>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</si>
  <si>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</si>
  <si>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</si>
  <si>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</si>
  <si>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</si>
  <si>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</si>
  <si>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</si>
  <si>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</si>
  <si>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</si>
  <si>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</si>
  <si>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</si>
  <si>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</si>
  <si>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</si>
  <si>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</si>
  <si>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</si>
  <si>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</si>
  <si>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</si>
  <si>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</si>
  <si>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</si>
  <si>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</si>
  <si>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</si>
  <si>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</si>
  <si>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</si>
  <si>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</si>
  <si>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</si>
  <si>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</si>
  <si>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</si>
  <si>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</si>
  <si>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</si>
  <si>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</si>
  <si>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</si>
  <si>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</si>
  <si>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</si>
  <si>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</si>
  <si>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</si>
  <si>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</si>
  <si>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</si>
  <si>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</si>
  <si>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</si>
  <si>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</si>
  <si>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</si>
  <si>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</si>
  <si>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</si>
  <si>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</si>
  <si>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</si>
  <si>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</si>
  <si>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</si>
  <si>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</si>
  <si>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</si>
  <si>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</si>
  <si>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</si>
  <si>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</si>
  <si>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</si>
  <si>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</si>
  <si>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</si>
  <si>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</si>
  <si>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</si>
  <si>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</si>
  <si>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</si>
  <si>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</si>
  <si>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</si>
  <si>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</si>
  <si>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</si>
  <si>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</si>
  <si>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</si>
  <si>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</si>
  <si>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</si>
  <si>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</si>
  <si>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</si>
  <si>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</si>
  <si>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</si>
  <si>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</si>
  <si>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</si>
  <si>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</si>
  <si>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</si>
  <si>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</si>
  <si>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</si>
  <si>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</si>
  <si>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</si>
  <si>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</si>
  <si>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</si>
  <si>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</si>
  <si>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</si>
  <si>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</si>
  <si>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</si>
  <si>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</si>
  <si>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</si>
  <si>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</si>
  <si>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</si>
  <si>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</si>
  <si>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</si>
  <si>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</si>
  <si>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</si>
  <si>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</si>
  <si>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</si>
  <si>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</si>
  <si>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</si>
  <si>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</si>
  <si>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</si>
  <si>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</si>
  <si>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</si>
  <si>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</si>
  <si>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</si>
  <si>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</si>
  <si>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</si>
  <si>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</si>
  <si>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</si>
  <si>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</si>
  <si>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</si>
  <si>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</si>
  <si>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</si>
  <si>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</si>
  <si>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</si>
  <si>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</si>
  <si>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</si>
  <si>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</si>
  <si>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</si>
  <si>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</si>
  <si>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</si>
  <si>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</si>
  <si>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</si>
  <si>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</si>
  <si>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</si>
  <si>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</si>
  <si>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</si>
  <si>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</si>
  <si>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</si>
  <si>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</si>
  <si>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</si>
  <si>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</si>
  <si>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</si>
  <si>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</si>
  <si>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</si>
  <si>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</si>
  <si>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</si>
  <si>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</si>
  <si>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</si>
  <si>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</si>
  <si>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</si>
  <si>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</si>
  <si>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</si>
  <si>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</si>
  <si>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</si>
  <si>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</si>
  <si>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</si>
  <si>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</si>
  <si>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</si>
  <si>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</si>
  <si>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</si>
  <si>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</si>
  <si>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</si>
  <si>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</si>
  <si>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</si>
  <si>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</si>
  <si>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</si>
  <si>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</si>
  <si>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</si>
  <si>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</si>
  <si>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</si>
  <si>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</si>
  <si>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</si>
  <si>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</si>
  <si>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</si>
  <si>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</si>
  <si>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</si>
  <si>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</si>
  <si>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</si>
  <si>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</si>
  <si>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</si>
  <si>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</si>
  <si>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</si>
  <si>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</si>
  <si>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</si>
  <si>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</si>
  <si>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</si>
  <si>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</si>
  <si>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</si>
  <si>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</si>
  <si>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</si>
  <si>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</si>
  <si>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</si>
  <si>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</si>
  <si>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</si>
  <si>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</si>
  <si>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</si>
  <si>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</si>
  <si>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</si>
  <si>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</si>
  <si>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</si>
  <si>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</si>
  <si>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</si>
  <si>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</si>
  <si>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</si>
  <si>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</si>
  <si>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</si>
  <si>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</si>
  <si>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</si>
  <si>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</si>
  <si>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</si>
  <si>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</si>
  <si>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</si>
  <si>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</si>
  <si>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</si>
  <si>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</si>
  <si>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</si>
  <si>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</si>
  <si>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</si>
  <si>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</si>
  <si>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</si>
  <si>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</si>
  <si>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</si>
  <si>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</si>
  <si>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</si>
  <si>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</si>
  <si>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</si>
  <si>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</si>
  <si>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</si>
  <si>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</si>
  <si>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</si>
  <si>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</si>
  <si>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</si>
  <si>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</si>
  <si>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</si>
  <si>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</si>
  <si>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</si>
  <si>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</si>
  <si>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</si>
  <si>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</si>
  <si>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</si>
  <si>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</si>
  <si>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</si>
  <si>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</si>
  <si>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</si>
  <si>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</si>
  <si>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</si>
  <si>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</si>
  <si>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</si>
  <si>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</si>
  <si>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</si>
  <si>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</si>
  <si>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</si>
  <si>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</si>
  <si>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</si>
  <si>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</si>
  <si>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</si>
  <si>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</si>
  <si>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</si>
  <si>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</si>
  <si>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</si>
  <si>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</si>
  <si>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</si>
  <si>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</si>
  <si>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</si>
  <si>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</si>
  <si>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</si>
  <si>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</si>
  <si>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</si>
  <si>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</si>
  <si>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</si>
  <si>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</si>
  <si>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</si>
  <si>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</si>
  <si>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</si>
  <si>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</si>
  <si>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</si>
  <si>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</si>
  <si>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</si>
  <si>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</si>
  <si>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</si>
  <si>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</si>
  <si>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</si>
  <si>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</si>
  <si>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</si>
  <si>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</si>
  <si>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</si>
  <si>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</si>
  <si>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</si>
  <si>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</si>
  <si>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</si>
  <si>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</si>
  <si>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</si>
  <si>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</si>
  <si>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</si>
  <si>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</si>
  <si>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</si>
  <si>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</si>
  <si>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</si>
  <si>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</si>
  <si>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</si>
  <si>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</si>
  <si>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</si>
  <si>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</si>
  <si>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</si>
  <si>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</si>
  <si>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</si>
  <si>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</si>
  <si>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</si>
  <si>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</si>
  <si>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</si>
  <si>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</si>
  <si>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</si>
  <si>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</si>
  <si>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</si>
  <si>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</si>
  <si>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</si>
  <si>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</si>
  <si>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</si>
  <si>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</si>
  <si>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</si>
  <si>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</si>
  <si>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</si>
  <si>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</si>
  <si>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</si>
  <si>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</si>
  <si>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</si>
  <si>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</si>
  <si>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</si>
  <si>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</si>
  <si>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</si>
  <si>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</si>
  <si>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</si>
  <si>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</si>
  <si>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</si>
  <si>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</si>
  <si>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</si>
  <si>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</si>
  <si>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</si>
  <si>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</si>
  <si>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</si>
  <si>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</si>
  <si>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</si>
  <si>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</si>
  <si>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</si>
  <si>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</si>
  <si>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</si>
  <si>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</si>
  <si>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</si>
  <si>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</si>
  <si>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</si>
  <si>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</si>
  <si>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</si>
  <si>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</si>
  <si>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</si>
  <si>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</si>
  <si>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</si>
  <si>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</si>
  <si>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</si>
  <si>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</si>
  <si>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</si>
  <si>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</si>
  <si>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</si>
  <si>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</si>
  <si>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</si>
  <si>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</si>
  <si>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</si>
  <si>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</si>
  <si>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</si>
  <si>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</si>
  <si>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</si>
  <si>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</si>
  <si>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</si>
  <si>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</si>
  <si>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</si>
  <si>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</si>
  <si>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</si>
  <si>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</si>
  <si>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</si>
  <si>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</si>
  <si>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</si>
  <si>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</si>
  <si>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</si>
  <si>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</si>
  <si>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</si>
  <si>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</si>
  <si>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</si>
  <si>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</si>
  <si>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</si>
  <si>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</si>
  <si>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</si>
  <si>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</si>
  <si>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</si>
  <si>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</si>
  <si>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</si>
  <si>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</si>
  <si>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</si>
  <si>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</si>
  <si>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</si>
  <si>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</si>
  <si>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</si>
  <si>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</si>
  <si>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</si>
  <si>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</si>
  <si>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</si>
  <si>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</si>
  <si>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</si>
  <si>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</si>
  <si>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</si>
  <si>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</si>
  <si>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</si>
  <si>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</si>
  <si>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</si>
  <si>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</si>
  <si>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</si>
  <si>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</si>
  <si>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</si>
  <si>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</si>
  <si>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</si>
  <si>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</si>
  <si>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</si>
  <si>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</si>
  <si>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</si>
  <si>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</si>
  <si>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</si>
  <si>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</si>
  <si>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</si>
  <si>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</si>
  <si>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</si>
  <si>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</si>
  <si>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</si>
  <si>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</si>
  <si>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</si>
  <si>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</si>
  <si>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</si>
  <si>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</si>
  <si>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</si>
  <si>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</si>
  <si>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</si>
  <si>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</si>
  <si>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</si>
  <si>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</si>
  <si>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</si>
  <si>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</si>
  <si>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</si>
  <si>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</si>
  <si>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</si>
  <si>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</si>
  <si>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</si>
  <si>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</si>
  <si>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</si>
  <si>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</si>
  <si>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</si>
  <si>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</si>
  <si>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</si>
  <si>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</si>
  <si>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</si>
  <si>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</si>
  <si>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</si>
  <si>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</si>
  <si>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</si>
  <si>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</si>
  <si>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</si>
  <si>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</si>
  <si>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</si>
  <si>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</si>
  <si>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</si>
  <si>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</si>
  <si>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</si>
  <si>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</si>
  <si>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</si>
  <si>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</si>
  <si>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</si>
  <si>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</si>
  <si>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</si>
  <si>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</si>
  <si>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</si>
  <si>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</si>
  <si>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</si>
  <si>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</si>
  <si>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</si>
  <si>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</si>
  <si>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</si>
  <si>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</si>
  <si>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</si>
  <si>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</si>
  <si>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</si>
  <si>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</si>
  <si>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</si>
  <si>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</si>
  <si>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</si>
  <si>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</si>
  <si>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</si>
  <si>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</si>
  <si>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</si>
  <si>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</si>
  <si>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</si>
  <si>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</si>
  <si>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</si>
  <si>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</si>
  <si>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</si>
  <si>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</si>
  <si>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</si>
  <si>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</si>
  <si>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</si>
  <si>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</si>
  <si>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</si>
  <si>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</si>
  <si>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</si>
  <si>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</si>
  <si>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</si>
  <si>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</si>
  <si>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</si>
  <si>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</si>
  <si>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</si>
  <si>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</si>
  <si>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</si>
  <si>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</si>
  <si>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</si>
  <si>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</si>
  <si>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</si>
  <si>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</si>
  <si>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</si>
  <si>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</si>
  <si>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</si>
  <si>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</si>
  <si>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</si>
  <si>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</si>
  <si>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</si>
  <si>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</si>
  <si>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</si>
  <si>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</si>
  <si>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</si>
  <si>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</si>
  <si>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</si>
  <si>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</si>
  <si>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</si>
  <si>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</si>
  <si>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</si>
  <si>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</si>
  <si>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</si>
  <si>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</si>
  <si>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</si>
  <si>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</si>
  <si>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</si>
  <si>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</si>
  <si>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</si>
  <si>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</si>
  <si>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</si>
  <si>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</si>
  <si>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</si>
  <si>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</si>
  <si>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</si>
  <si>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</si>
  <si>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</si>
  <si>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</si>
  <si>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</si>
  <si>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</si>
  <si>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</si>
  <si>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</si>
  <si>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</si>
  <si>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</si>
  <si>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</si>
  <si>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</si>
  <si>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</si>
  <si>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</si>
  <si>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</si>
  <si>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</si>
  <si>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</si>
  <si>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</si>
  <si>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</si>
  <si>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</si>
  <si>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</si>
  <si>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</si>
  <si>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</si>
  <si>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</si>
  <si>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</si>
  <si>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</si>
  <si>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</si>
  <si>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</si>
  <si>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</si>
  <si>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</si>
  <si>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</si>
  <si>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</si>
  <si>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</si>
  <si>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</si>
  <si>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</si>
  <si>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</si>
  <si>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</si>
  <si>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</si>
  <si>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</si>
  <si>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</si>
  <si>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</si>
  <si>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</si>
  <si>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</si>
  <si>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</si>
  <si>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</si>
  <si>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</si>
  <si>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</si>
  <si>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</si>
  <si>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</si>
  <si>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</si>
  <si>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</si>
  <si>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</si>
  <si>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</si>
  <si>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</si>
  <si>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</si>
  <si>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</si>
  <si>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</si>
  <si>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</si>
  <si>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</si>
  <si>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</si>
  <si>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</si>
  <si>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</si>
  <si>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</si>
  <si>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</si>
  <si>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</si>
  <si>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</si>
  <si>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</si>
  <si>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</si>
  <si>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</si>
  <si>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</si>
  <si>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</si>
  <si>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</si>
  <si>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</si>
  <si>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</si>
  <si>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</si>
  <si>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</si>
  <si>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</si>
  <si>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</si>
  <si>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</si>
  <si>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</si>
  <si>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</si>
  <si>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</si>
  <si>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</si>
  <si>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</si>
  <si>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</si>
  <si>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</si>
  <si>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</si>
  <si>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</si>
  <si>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</si>
  <si>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</si>
  <si>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</si>
  <si>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</si>
  <si>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</si>
  <si>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</si>
  <si>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</si>
  <si>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</si>
  <si>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</si>
  <si>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</si>
  <si>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</si>
  <si>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</si>
  <si>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</si>
  <si>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</si>
  <si>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</si>
  <si>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</si>
  <si>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</si>
  <si>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</si>
  <si>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</si>
  <si>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</si>
  <si>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</si>
  <si>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</si>
  <si>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</si>
  <si>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</si>
  <si>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</si>
  <si>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</si>
  <si>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</si>
  <si>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</si>
  <si>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</si>
  <si>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</si>
  <si>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</si>
  <si>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</si>
  <si>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</si>
  <si>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</si>
  <si>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</si>
  <si>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</si>
  <si>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</si>
  <si>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</si>
  <si>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</si>
  <si>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</si>
  <si>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</si>
  <si>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</si>
  <si>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</si>
  <si>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</si>
  <si>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</si>
  <si>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</si>
  <si>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</si>
  <si>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</si>
  <si>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</si>
  <si>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</si>
  <si>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</si>
  <si>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</si>
  <si>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</si>
  <si>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</si>
  <si>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</si>
  <si>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</si>
  <si>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</si>
  <si>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</si>
  <si>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</si>
  <si>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</si>
  <si>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</si>
  <si>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</si>
  <si>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</si>
  <si>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</si>
  <si>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</si>
  <si>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</si>
  <si>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</si>
  <si>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</si>
  <si>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</si>
  <si>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</si>
  <si>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</si>
  <si>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</si>
  <si>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</si>
  <si>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</si>
  <si>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</si>
  <si>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</si>
  <si>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</si>
  <si>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</si>
  <si>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</si>
  <si>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</si>
  <si>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</si>
  <si>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</si>
  <si>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</si>
  <si>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</si>
  <si>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</si>
  <si>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</si>
  <si>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</si>
  <si>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</si>
  <si>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</si>
  <si>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</si>
  <si>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</si>
  <si>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</si>
  <si>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</si>
  <si>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</si>
  <si>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</si>
  <si>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</si>
  <si>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</si>
  <si>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</si>
  <si>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</si>
  <si>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</si>
  <si>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</si>
  <si>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</si>
  <si>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</si>
  <si>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</si>
  <si>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</si>
  <si>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</si>
  <si>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</si>
  <si>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</si>
  <si>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</si>
  <si>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</si>
  <si>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</si>
  <si>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</si>
  <si>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</si>
  <si>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</si>
  <si>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</si>
  <si>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</si>
  <si>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</si>
  <si>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</si>
  <si>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</si>
  <si>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</si>
  <si>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</si>
  <si>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</si>
  <si>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</si>
  <si>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</si>
  <si>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</si>
  <si>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</si>
  <si>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</si>
  <si>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</si>
  <si>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</si>
  <si>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</si>
  <si>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</si>
  <si>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</si>
  <si>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</si>
  <si>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</si>
  <si>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</si>
  <si>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</si>
  <si>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</si>
  <si>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</si>
  <si>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</si>
  <si>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</si>
  <si>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</si>
  <si>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</si>
  <si>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</si>
  <si>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</si>
  <si>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</si>
  <si>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</si>
  <si>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</si>
  <si>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</si>
  <si>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</si>
  <si>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</si>
  <si>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</si>
  <si>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</si>
  <si>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</si>
  <si>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</si>
  <si>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</si>
  <si>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</si>
  <si>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</si>
  <si>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</si>
  <si>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</si>
  <si>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</si>
  <si>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</si>
  <si>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</si>
  <si>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</si>
  <si>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</si>
  <si>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</si>
  <si>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</si>
  <si>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</si>
  <si>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</si>
  <si>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</si>
  <si>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</si>
  <si>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</si>
  <si>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</si>
  <si>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</si>
  <si>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</si>
  <si>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</si>
  <si>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</si>
  <si>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</si>
  <si>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</si>
  <si>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</si>
  <si>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</si>
  <si>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</si>
  <si>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</si>
  <si>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</si>
  <si>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</si>
  <si>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</si>
  <si>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</si>
  <si>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</si>
  <si>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</si>
  <si>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</si>
  <si>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</si>
  <si>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</si>
  <si>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</si>
  <si>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</si>
  <si>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</si>
  <si>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</si>
  <si>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</si>
  <si>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</si>
  <si>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</si>
  <si>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</si>
  <si>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</si>
  <si>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</si>
  <si>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</si>
  <si>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</si>
  <si>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</si>
  <si>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</si>
  <si>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</si>
  <si>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</si>
  <si>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</si>
  <si>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</si>
  <si>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</si>
  <si>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</si>
  <si>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</si>
  <si>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</si>
  <si>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</si>
  <si>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</si>
  <si>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</si>
  <si>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</si>
  <si>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</si>
  <si>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</si>
  <si>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</si>
  <si>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</si>
  <si>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</si>
  <si>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</si>
  <si>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</si>
  <si>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</si>
  <si>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</si>
  <si>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</si>
  <si>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</si>
  <si>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</si>
  <si>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</si>
  <si>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</si>
  <si>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</si>
  <si>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</si>
  <si>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</si>
  <si>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</si>
  <si>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</si>
  <si>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</si>
  <si>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</si>
  <si>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</si>
  <si>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</si>
  <si>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</si>
  <si>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</si>
  <si>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</si>
  <si>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</si>
  <si>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</si>
  <si>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</si>
  <si>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</si>
  <si>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</si>
  <si>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</si>
  <si>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</si>
  <si>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</si>
  <si>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</si>
  <si>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</si>
  <si>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</si>
  <si>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</si>
  <si>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</si>
  <si>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</si>
  <si>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</si>
  <si>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</si>
  <si>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</si>
  <si>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</si>
  <si>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</si>
  <si>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</si>
  <si>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</si>
  <si>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</si>
  <si>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</si>
  <si>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</si>
  <si>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</si>
  <si>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</si>
  <si>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</si>
  <si>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</si>
  <si>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</si>
  <si>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</si>
  <si>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</si>
  <si>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</si>
  <si>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</si>
  <si>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</si>
  <si>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</si>
  <si>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</si>
  <si>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</si>
  <si>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</si>
  <si>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</si>
  <si>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</si>
  <si>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</si>
  <si>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</si>
  <si>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</si>
  <si>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</si>
  <si>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</si>
  <si>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</si>
  <si>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</si>
  <si>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</si>
  <si>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</si>
  <si>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</si>
  <si>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</si>
  <si>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</si>
  <si>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</si>
  <si>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</si>
  <si>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</si>
  <si>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</si>
  <si>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</si>
  <si>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</si>
  <si>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</si>
  <si>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</si>
  <si>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</si>
  <si>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</si>
  <si>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</si>
  <si>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</si>
  <si>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</si>
  <si>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</si>
  <si>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</si>
  <si>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</si>
  <si>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</si>
  <si>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</si>
  <si>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</si>
  <si>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</si>
  <si>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</si>
  <si>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</si>
  <si>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</si>
  <si>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</si>
  <si>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</si>
  <si>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</si>
  <si>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</si>
  <si>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</si>
  <si>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</si>
  <si>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</si>
  <si>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</si>
  <si>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</si>
  <si>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</si>
  <si>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</si>
  <si>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</si>
  <si>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</si>
  <si>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</si>
  <si>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</si>
  <si>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</si>
  <si>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</si>
  <si>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</si>
  <si>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</si>
  <si>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</si>
  <si>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</si>
  <si>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</si>
  <si>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</si>
  <si>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</si>
  <si>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</si>
  <si>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</si>
  <si>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</si>
  <si>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</si>
  <si>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</si>
  <si>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</si>
  <si>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</si>
  <si>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</si>
  <si>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</si>
  <si>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</si>
  <si>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</si>
  <si>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</si>
  <si>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</si>
  <si>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</si>
  <si>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</si>
  <si>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</si>
  <si>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</si>
  <si>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</si>
  <si>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</si>
  <si>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</si>
  <si>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</si>
  <si>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</si>
  <si>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</si>
  <si>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</si>
  <si>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</si>
  <si>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</si>
  <si>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</si>
  <si>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</si>
  <si>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</si>
  <si>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</si>
  <si>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</si>
  <si>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</si>
  <si>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</si>
  <si>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</si>
  <si>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</si>
  <si>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</si>
  <si>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</si>
  <si>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</si>
  <si>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</si>
  <si>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</si>
  <si>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</si>
  <si>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</si>
  <si>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</si>
  <si>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</si>
  <si>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</si>
  <si>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</si>
  <si>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</si>
  <si>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</si>
  <si>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</si>
  <si>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</si>
  <si>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</si>
  <si>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</si>
  <si>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</si>
  <si>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</si>
  <si>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</si>
  <si>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</si>
  <si>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</si>
  <si>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</si>
  <si>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</si>
  <si>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</si>
  <si>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</si>
  <si>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</si>
  <si>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</si>
  <si>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</si>
  <si>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</si>
  <si>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</si>
  <si>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</si>
  <si>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</si>
  <si>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</si>
  <si>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</si>
  <si>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</si>
  <si>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</si>
  <si>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</si>
  <si>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</si>
  <si>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</si>
  <si>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</si>
  <si>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</si>
  <si>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</si>
  <si>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</si>
  <si>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</si>
  <si>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</si>
  <si>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</si>
  <si>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</si>
  <si>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</si>
  <si>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</si>
  <si>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</si>
  <si>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</si>
  <si>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</si>
  <si>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</si>
  <si>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</si>
  <si>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</si>
  <si>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</si>
  <si>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</si>
  <si>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</si>
  <si>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</si>
  <si>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</si>
  <si>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</si>
  <si>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</si>
  <si>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</si>
  <si>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</si>
  <si>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</si>
  <si>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</si>
  <si>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</si>
  <si>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</si>
  <si>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</si>
  <si>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</si>
  <si>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</si>
  <si>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</si>
  <si>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</si>
  <si>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</si>
  <si>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</si>
  <si>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</si>
  <si>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</si>
  <si>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</si>
  <si>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</si>
  <si>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</si>
  <si>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</si>
  <si>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</si>
  <si>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</si>
  <si>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</si>
  <si>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</si>
  <si>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</si>
  <si>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</si>
  <si>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</si>
  <si>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</si>
  <si>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</si>
  <si>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</si>
  <si>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</si>
  <si>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</si>
  <si>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</si>
  <si>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</si>
  <si>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</si>
  <si>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</si>
  <si>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</si>
  <si>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</si>
  <si>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</si>
  <si>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</si>
  <si>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</si>
  <si>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</si>
  <si>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</si>
  <si>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</si>
  <si>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</si>
  <si>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</si>
  <si>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</si>
  <si>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</si>
  <si>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</si>
  <si>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</si>
  <si>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</si>
  <si>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</si>
  <si>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</si>
  <si>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</si>
  <si>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</si>
  <si>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</si>
  <si>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</si>
  <si>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</si>
  <si>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</si>
  <si>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</si>
  <si>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</si>
  <si>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</si>
  <si>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</si>
  <si>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</si>
  <si>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</si>
  <si>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</si>
  <si>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</si>
  <si>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</si>
  <si>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</si>
  <si>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</si>
  <si>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</si>
  <si>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</si>
  <si>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</si>
  <si>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</si>
  <si>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</si>
  <si>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</si>
  <si>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</si>
  <si>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</si>
  <si>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</si>
  <si>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</si>
  <si>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</si>
  <si>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</si>
  <si>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</si>
  <si>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</si>
  <si>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</si>
  <si>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</si>
  <si>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</si>
  <si>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</si>
  <si>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</si>
  <si>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</si>
  <si>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</si>
  <si>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</si>
  <si>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</si>
  <si>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</si>
  <si>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</si>
  <si>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</si>
  <si>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</si>
  <si>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</si>
  <si>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</si>
  <si>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</si>
  <si>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</si>
  <si>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</si>
  <si>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</si>
  <si>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</si>
  <si>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</si>
  <si>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</si>
  <si>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</si>
  <si>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</si>
  <si>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</si>
  <si>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</si>
  <si>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</si>
  <si>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</si>
  <si>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</si>
  <si>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</si>
  <si>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</si>
  <si>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</si>
  <si>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</si>
  <si>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</si>
  <si>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</si>
  <si>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</si>
  <si>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</si>
  <si>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</si>
  <si>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</si>
  <si>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</si>
  <si>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</si>
  <si>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</si>
  <si>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</si>
  <si>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</si>
  <si>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</si>
  <si>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</si>
  <si>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</si>
  <si>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</si>
  <si>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</si>
  <si>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</si>
  <si>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</si>
  <si>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</si>
  <si>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</si>
  <si>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</si>
  <si>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</si>
  <si>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</si>
  <si>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</si>
  <si>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</si>
  <si>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</si>
  <si>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</si>
  <si>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</si>
  <si>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</si>
  <si>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</si>
  <si>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</si>
  <si>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</si>
  <si>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</si>
  <si>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</si>
  <si>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</si>
  <si>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</si>
  <si>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</si>
  <si>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</si>
  <si>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</si>
  <si>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</si>
  <si>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</si>
  <si>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</si>
  <si>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</si>
  <si>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</si>
  <si>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</si>
  <si>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</si>
  <si>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</si>
  <si>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</si>
  <si>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</si>
  <si>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</si>
  <si>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</si>
  <si>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</si>
  <si>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</si>
  <si>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</si>
  <si>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</si>
  <si>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</si>
  <si>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</si>
  <si>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</si>
  <si>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</si>
  <si>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</si>
  <si>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</si>
  <si>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</si>
  <si>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</si>
  <si>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</si>
  <si>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</si>
  <si>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</si>
  <si>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</si>
  <si>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</si>
  <si>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</si>
  <si>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</si>
  <si>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</si>
  <si>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</si>
  <si>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</si>
  <si>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</si>
  <si>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</si>
  <si>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</si>
  <si>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</si>
  <si>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</si>
  <si>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</si>
  <si>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</si>
  <si>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</si>
  <si>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</si>
  <si>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</si>
  <si>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</si>
  <si>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</si>
  <si>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</si>
  <si>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</si>
  <si>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</si>
  <si>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</si>
  <si>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</si>
  <si>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</si>
  <si>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</si>
  <si>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</si>
  <si>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</si>
  <si>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</si>
  <si>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</si>
  <si>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</si>
  <si>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</si>
  <si>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</si>
  <si>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</si>
  <si>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</si>
  <si>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</si>
  <si>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</si>
  <si>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</si>
  <si>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</si>
  <si>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</si>
  <si>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</si>
  <si>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</si>
  <si>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</si>
  <si>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</si>
  <si>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</si>
  <si>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</si>
  <si>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</si>
  <si>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</si>
  <si>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</si>
  <si>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</si>
  <si>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</si>
  <si>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</si>
  <si>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</si>
  <si>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</si>
  <si>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</si>
  <si>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</si>
  <si>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</si>
  <si>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</si>
  <si>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</si>
  <si>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</si>
  <si>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</si>
  <si>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</si>
  <si>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</si>
  <si>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</si>
  <si>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</si>
  <si>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</si>
  <si>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</si>
  <si>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</si>
  <si>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</si>
  <si>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</si>
  <si>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</si>
  <si>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</si>
  <si>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</si>
  <si>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</si>
  <si>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</si>
  <si>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</si>
  <si>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</si>
  <si>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</si>
  <si>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</si>
  <si>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</si>
  <si>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</si>
  <si>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</si>
  <si>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</si>
  <si>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</si>
  <si>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</si>
  <si>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</si>
  <si>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</si>
  <si>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</si>
  <si>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</si>
  <si>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</si>
  <si>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</si>
  <si>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</si>
  <si>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</si>
  <si>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</si>
  <si>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</si>
  <si>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</si>
  <si>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</si>
  <si>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</si>
  <si>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</si>
  <si>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</si>
  <si>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</si>
  <si>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</si>
  <si>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</si>
  <si>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</si>
  <si>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</si>
  <si>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</si>
  <si>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</si>
  <si>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</si>
  <si>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</si>
  <si>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</si>
  <si>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</si>
  <si>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</si>
  <si>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</si>
  <si>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</si>
  <si>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</si>
  <si>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</si>
  <si>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</si>
  <si>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</si>
  <si>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</si>
  <si>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</si>
  <si>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</si>
  <si>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</si>
  <si>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</si>
  <si>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</si>
  <si>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</si>
  <si>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</si>
  <si>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</si>
  <si>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</si>
  <si>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</si>
  <si>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</si>
  <si>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</si>
  <si>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</si>
  <si>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</si>
  <si>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</si>
  <si>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</si>
  <si>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</si>
  <si>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</si>
  <si>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</si>
  <si>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</si>
  <si>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</si>
  <si>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</si>
  <si>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</si>
  <si>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</si>
  <si>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</si>
  <si>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</si>
  <si>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</si>
  <si>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</si>
  <si>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</si>
  <si>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</si>
  <si>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</si>
  <si>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</si>
  <si>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</si>
  <si>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</si>
  <si>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</si>
  <si>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</si>
  <si>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</si>
  <si>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</si>
  <si>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</si>
  <si>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</si>
  <si>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</si>
  <si>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</si>
  <si>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</si>
  <si>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</si>
  <si>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</si>
  <si>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</si>
  <si>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</si>
  <si>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</si>
  <si>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</si>
  <si>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</si>
  <si>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</si>
  <si>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</si>
  <si>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</si>
  <si>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</si>
  <si>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</si>
  <si>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</si>
  <si>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</si>
  <si>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</si>
  <si>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</si>
  <si>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</si>
  <si>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</si>
  <si>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</si>
  <si>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</si>
  <si>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</si>
  <si>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</si>
  <si>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</si>
  <si>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</si>
  <si>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</si>
  <si>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</si>
  <si>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</si>
  <si>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</si>
  <si>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</si>
  <si>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</si>
  <si>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</si>
  <si>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</si>
  <si>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</si>
  <si>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</si>
  <si>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</si>
  <si>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</si>
  <si>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</si>
  <si>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</si>
  <si>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</si>
  <si>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</si>
  <si>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</si>
  <si>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</si>
  <si>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</si>
  <si>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</si>
  <si>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</si>
  <si>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</si>
  <si>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</si>
  <si>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</si>
  <si>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</si>
  <si>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</si>
  <si>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</si>
  <si>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</si>
  <si>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</si>
  <si>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</si>
  <si>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</si>
  <si>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</si>
  <si>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</si>
  <si>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</si>
  <si>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</si>
  <si>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</si>
  <si>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</si>
  <si>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</si>
  <si>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</si>
  <si>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</si>
  <si>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</si>
  <si>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</si>
  <si>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</si>
  <si>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</si>
  <si>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</si>
  <si>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</si>
  <si>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</si>
  <si>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</si>
  <si>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</si>
  <si>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</si>
  <si>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</si>
  <si>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</si>
  <si>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</si>
  <si>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</si>
  <si>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</si>
  <si>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</si>
  <si>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</si>
  <si>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</si>
  <si>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</si>
  <si>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</si>
  <si>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</si>
  <si>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</si>
  <si>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</si>
  <si>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</si>
  <si>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</si>
  <si>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</si>
  <si>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</si>
  <si>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</si>
  <si>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</si>
  <si>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</si>
  <si>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</si>
  <si>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</si>
  <si>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</si>
  <si>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</si>
  <si>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</si>
  <si>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</si>
  <si>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</si>
  <si>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</si>
  <si>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</si>
  <si>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</si>
  <si>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</si>
  <si>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</si>
  <si>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</si>
  <si>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</si>
  <si>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</si>
  <si>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</si>
  <si>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</si>
  <si>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</si>
  <si>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</si>
  <si>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</si>
  <si>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</si>
  <si>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</si>
  <si>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</si>
  <si>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</si>
  <si>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</si>
  <si>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</si>
  <si>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</si>
  <si>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</si>
  <si>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</si>
  <si>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</si>
  <si>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</si>
  <si>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</si>
  <si>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</si>
  <si>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</si>
  <si>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</si>
  <si>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</si>
  <si>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</si>
  <si>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</si>
  <si>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</si>
  <si>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</si>
  <si>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</si>
  <si>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</si>
  <si>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</si>
  <si>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</si>
  <si>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</si>
  <si>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</si>
  <si>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</si>
  <si>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</si>
  <si>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</si>
  <si>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</si>
  <si>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</si>
  <si>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</si>
  <si>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</si>
  <si>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</si>
  <si>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</si>
  <si>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</si>
  <si>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</si>
  <si>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</si>
  <si>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</si>
  <si>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</si>
  <si>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</si>
  <si>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</si>
  <si>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</si>
  <si>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</si>
  <si>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</si>
  <si>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</si>
  <si>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</si>
  <si>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</si>
  <si>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</si>
  <si>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</si>
  <si>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</si>
  <si>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</si>
  <si>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</si>
  <si>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</si>
  <si>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</si>
  <si>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</si>
  <si>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</si>
  <si>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</si>
  <si>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</si>
  <si>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</si>
  <si>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</si>
  <si>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</si>
  <si>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</si>
  <si>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</si>
  <si>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</si>
  <si>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</si>
  <si>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</si>
  <si>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</si>
  <si>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</si>
  <si>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</si>
  <si>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</si>
  <si>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</si>
  <si>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</si>
  <si>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</si>
  <si>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</si>
  <si>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</si>
  <si>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</si>
  <si>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</si>
  <si>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</si>
  <si>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</si>
  <si>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</si>
  <si>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</si>
  <si>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</si>
  <si>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</si>
  <si>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</si>
  <si>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</si>
  <si>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</si>
  <si>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</si>
  <si>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</si>
  <si>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</si>
  <si>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</si>
  <si>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</si>
  <si>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</si>
  <si>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</si>
  <si>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</si>
  <si>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</si>
  <si>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</si>
  <si>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</si>
  <si>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</si>
  <si>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</si>
  <si>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</si>
  <si>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</si>
  <si>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</si>
  <si>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</si>
  <si>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</si>
  <si>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</si>
  <si>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</si>
  <si>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</si>
  <si>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</si>
  <si>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</si>
  <si>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</si>
  <si>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</si>
  <si>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</si>
  <si>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</si>
  <si>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</si>
  <si>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</si>
  <si>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</si>
  <si>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</si>
  <si>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</si>
  <si>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</si>
  <si>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</si>
  <si>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</si>
  <si>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</si>
  <si>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</si>
  <si>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</si>
  <si>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</si>
  <si>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</si>
  <si>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</si>
  <si>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</si>
  <si>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</si>
  <si>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</si>
  <si>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</si>
  <si>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</si>
  <si>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</si>
  <si>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</si>
  <si>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</si>
  <si>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</si>
  <si>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</si>
  <si>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</si>
  <si>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</si>
  <si>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</si>
  <si>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</si>
  <si>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</si>
  <si>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</si>
  <si>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</si>
  <si>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</si>
  <si>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</si>
  <si>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</si>
  <si>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</si>
  <si>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</si>
  <si>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</si>
  <si>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</si>
  <si>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</si>
  <si>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</si>
  <si>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</si>
  <si>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</si>
  <si>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</si>
  <si>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</si>
  <si>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</si>
  <si>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</si>
  <si>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</si>
  <si>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</si>
  <si>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</si>
  <si>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</si>
  <si>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</si>
  <si>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</si>
  <si>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</si>
  <si>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</si>
  <si>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</si>
  <si>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</si>
  <si>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</si>
  <si>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</si>
  <si>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</si>
  <si>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</si>
  <si>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</si>
  <si>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</si>
  <si>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</si>
  <si>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</si>
  <si>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</si>
  <si>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</si>
  <si>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</si>
  <si>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</si>
  <si>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</si>
  <si>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</si>
  <si>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</si>
  <si>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</si>
  <si>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</si>
  <si>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</si>
  <si>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</si>
  <si>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</si>
  <si>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</si>
  <si>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</si>
  <si>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</si>
  <si>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</si>
  <si>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</si>
  <si>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</si>
  <si>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</si>
  <si>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</si>
  <si>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</si>
  <si>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</si>
  <si>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</si>
  <si>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</si>
  <si>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</si>
  <si>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</si>
  <si>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</si>
  <si>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</si>
  <si>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</si>
  <si>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</si>
  <si>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</si>
  <si>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</si>
  <si>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</si>
  <si>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</si>
  <si>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</si>
  <si>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</si>
  <si>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</si>
  <si>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</si>
  <si>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</si>
  <si>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</si>
  <si>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</si>
  <si>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</si>
  <si>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</si>
  <si>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</si>
  <si>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</si>
  <si>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</si>
  <si>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</si>
  <si>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</si>
  <si>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</si>
  <si>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</si>
  <si>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</si>
  <si>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</si>
  <si>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</si>
  <si>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</si>
  <si>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</si>
  <si>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</si>
  <si>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</si>
  <si>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</si>
  <si>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</si>
  <si>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</si>
  <si>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</si>
  <si>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</si>
  <si>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</si>
  <si>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</si>
  <si>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</si>
  <si>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</si>
  <si>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</si>
  <si>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</si>
  <si>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</si>
  <si>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</si>
  <si>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</si>
  <si>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</si>
  <si>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</si>
  <si>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</si>
  <si>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</si>
  <si>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</si>
  <si>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</si>
  <si>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</si>
  <si>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</si>
  <si>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</si>
  <si>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</si>
  <si>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</si>
  <si>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</si>
  <si>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</si>
  <si>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</si>
  <si>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</si>
  <si>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</si>
  <si>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</si>
  <si>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</si>
  <si>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</si>
  <si>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</si>
  <si>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</si>
  <si>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</si>
  <si>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</si>
  <si>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</si>
  <si>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</si>
  <si>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</si>
  <si>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</si>
  <si>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</si>
  <si>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</si>
  <si>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</si>
  <si>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</si>
  <si>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</si>
  <si>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</si>
  <si>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</si>
  <si>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</si>
  <si>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</si>
  <si>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</si>
  <si>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</si>
  <si>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</si>
  <si>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</si>
  <si>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</si>
  <si>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</si>
  <si>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</si>
  <si>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</si>
  <si>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</si>
  <si>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</si>
  <si>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</si>
  <si>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</si>
  <si>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</si>
  <si>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</si>
  <si>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</si>
  <si>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</si>
  <si>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</si>
  <si>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</si>
  <si>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</si>
  <si>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</si>
  <si>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</si>
  <si>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</si>
  <si>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</si>
  <si>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</si>
  <si>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</si>
  <si>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</si>
  <si>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</si>
  <si>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</si>
  <si>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</si>
  <si>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</si>
  <si>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</si>
  <si>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</si>
  <si>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</si>
  <si>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</si>
  <si>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</si>
  <si>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</si>
  <si>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</si>
  <si>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</si>
  <si>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</si>
  <si>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</si>
  <si>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</si>
  <si>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</si>
  <si>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</si>
  <si>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</si>
  <si>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</si>
  <si>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</si>
  <si>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</si>
  <si>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</si>
  <si>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</si>
  <si>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</si>
  <si>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</si>
  <si>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</si>
  <si>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</si>
  <si>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</si>
  <si>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</si>
  <si>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</si>
  <si>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</si>
  <si>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</si>
  <si>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</si>
  <si>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</si>
  <si>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</si>
  <si>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</si>
  <si>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</si>
  <si>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</si>
  <si>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</si>
  <si>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</si>
  <si>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</si>
  <si>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</si>
  <si>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</si>
  <si>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</si>
  <si>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</si>
  <si>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</si>
  <si>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</si>
  <si>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</si>
  <si>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</si>
  <si>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</si>
  <si>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</si>
  <si>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</si>
  <si>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</si>
  <si>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</si>
  <si>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</si>
  <si>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</si>
  <si>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</si>
  <si>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</si>
  <si>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</si>
  <si>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</si>
  <si>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</si>
  <si>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</si>
  <si>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</si>
  <si>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</si>
  <si>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</si>
  <si>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</si>
  <si>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</si>
  <si>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</si>
  <si>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</si>
  <si>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</si>
  <si>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</si>
  <si>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</si>
  <si>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</si>
  <si>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</si>
  <si>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</si>
  <si>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</si>
  <si>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</si>
  <si>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</si>
  <si>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</si>
  <si>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</si>
  <si>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</si>
  <si>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</si>
  <si>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</si>
  <si>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</si>
  <si>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</si>
  <si>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</si>
  <si>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</si>
  <si>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</si>
  <si>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</si>
  <si>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</si>
  <si>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</si>
  <si>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</si>
  <si>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</si>
  <si>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</si>
  <si>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</si>
  <si>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</si>
  <si>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</si>
  <si>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</si>
  <si>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</si>
  <si>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</si>
  <si>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</si>
  <si>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</si>
  <si>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</si>
  <si>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</si>
  <si>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</si>
  <si>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</si>
  <si>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</si>
  <si>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</si>
  <si>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</si>
  <si>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</si>
  <si>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</si>
  <si>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</si>
  <si>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</si>
  <si>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</si>
  <si>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</si>
  <si>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</si>
  <si>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</si>
  <si>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</si>
  <si>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</si>
  <si>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</si>
  <si>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</si>
  <si>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</si>
  <si>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</si>
  <si>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</si>
  <si>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</si>
  <si>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</si>
  <si>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</si>
  <si>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</si>
  <si>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</si>
  <si>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</si>
  <si>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</si>
  <si>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</si>
  <si>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</si>
  <si>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</si>
  <si>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</si>
  <si>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</si>
  <si>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</si>
  <si>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</si>
  <si>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</si>
  <si>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</si>
  <si>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</si>
  <si>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</si>
  <si>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</si>
  <si>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</si>
  <si>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</si>
  <si>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</si>
  <si>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</si>
  <si>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</si>
  <si>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</si>
  <si>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</si>
  <si>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</si>
  <si>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</si>
  <si>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</si>
  <si>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</si>
  <si>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</si>
  <si>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</si>
  <si>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</si>
  <si>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</si>
  <si>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</si>
  <si>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</si>
  <si>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</si>
  <si>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</si>
  <si>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</si>
  <si>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</si>
  <si>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</si>
  <si>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</si>
  <si>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</si>
  <si>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</si>
  <si>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</si>
  <si>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</si>
  <si>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</si>
  <si>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</si>
  <si>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</si>
  <si>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</si>
  <si>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</si>
  <si>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</si>
  <si>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</si>
  <si>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</si>
  <si>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</si>
  <si>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</si>
  <si>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</si>
  <si>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</si>
  <si>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</si>
  <si>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</si>
  <si>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</si>
  <si>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</si>
  <si>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</si>
  <si>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</si>
  <si>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</si>
  <si>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</si>
  <si>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</si>
  <si>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</si>
  <si>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</si>
  <si>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</si>
  <si>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</si>
  <si>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</si>
  <si>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</si>
  <si>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</si>
  <si>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</si>
  <si>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</si>
  <si>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</si>
  <si>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</si>
  <si>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</si>
  <si>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</si>
  <si>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</si>
  <si>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</si>
  <si>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</si>
  <si>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</si>
  <si>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</si>
  <si>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</si>
  <si>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</si>
  <si>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</si>
  <si>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</si>
  <si>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</si>
  <si>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</si>
  <si>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</si>
  <si>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</si>
  <si>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</si>
  <si>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</si>
  <si>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</si>
  <si>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</si>
  <si>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</si>
  <si>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</si>
  <si>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</si>
  <si>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</si>
  <si>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</si>
  <si>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</si>
  <si>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</si>
  <si>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</si>
  <si>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</si>
  <si>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</si>
  <si>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</si>
  <si>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</si>
  <si>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</si>
  <si>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</si>
  <si>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</si>
  <si>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</si>
  <si>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</si>
  <si>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</si>
  <si>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</si>
  <si>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</si>
  <si>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</si>
  <si>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</si>
  <si>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</si>
  <si>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</si>
  <si>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</si>
  <si>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</si>
  <si>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</si>
  <si>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</si>
  <si>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</si>
  <si>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</si>
  <si>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</si>
  <si>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</si>
  <si>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</si>
  <si>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</si>
  <si>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</si>
  <si>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</si>
  <si>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</si>
  <si>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</si>
  <si>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</si>
  <si>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</si>
  <si>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</si>
  <si>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</si>
  <si>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</si>
  <si>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</si>
  <si>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</si>
  <si>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</si>
  <si>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</si>
  <si>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</si>
  <si>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</si>
  <si>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</si>
  <si>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</si>
  <si>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</si>
  <si>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</si>
  <si>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</si>
  <si>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</si>
  <si>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</si>
  <si>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</si>
  <si>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</si>
  <si>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</si>
  <si>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</si>
  <si>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</si>
  <si>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</si>
  <si>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</si>
  <si>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</si>
  <si>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</si>
  <si>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</si>
  <si>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</si>
  <si>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</si>
  <si>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</si>
  <si>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</si>
  <si>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</si>
  <si>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</si>
  <si>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</si>
  <si>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</si>
  <si>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</si>
  <si>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</si>
  <si>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</si>
  <si>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</si>
  <si>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</si>
  <si>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</si>
  <si>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</si>
  <si>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</si>
  <si>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</si>
  <si>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</si>
  <si>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</si>
  <si>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</si>
  <si>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</si>
  <si>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</si>
  <si>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</si>
  <si>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</si>
  <si>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</si>
  <si>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</si>
  <si>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</si>
  <si>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</si>
  <si>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</si>
  <si>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</si>
  <si>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</si>
  <si>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</si>
  <si>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</si>
  <si>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</si>
  <si>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</si>
  <si>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</si>
  <si>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</si>
  <si>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</si>
  <si>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</si>
  <si>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</si>
  <si>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</si>
  <si>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</si>
  <si>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</si>
  <si>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</si>
  <si>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</si>
  <si>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</si>
  <si>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</si>
  <si>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</si>
  <si>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</si>
  <si>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</si>
  <si>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</si>
  <si>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</si>
  <si>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</si>
  <si>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</si>
  <si>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</si>
  <si>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</si>
  <si>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</si>
  <si>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</si>
  <si>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</si>
  <si>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</si>
  <si>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</si>
  <si>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</si>
  <si>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</si>
  <si>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</si>
  <si>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</si>
  <si>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</si>
  <si>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</si>
  <si>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</si>
  <si>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</si>
  <si>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</si>
  <si>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</si>
  <si>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</si>
  <si>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</si>
  <si>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</si>
  <si>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</si>
  <si>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</si>
  <si>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</si>
  <si>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</si>
  <si>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</si>
  <si>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</si>
  <si>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</si>
  <si>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</si>
  <si>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</si>
  <si>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</si>
  <si>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</si>
  <si>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</si>
  <si>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</si>
  <si>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</si>
  <si>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</si>
  <si>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</si>
  <si>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</si>
  <si>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</si>
  <si>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</si>
  <si>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</si>
  <si>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</si>
  <si>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</si>
  <si>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</si>
  <si>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</si>
  <si>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</si>
  <si>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</si>
  <si>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</si>
  <si>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</si>
  <si>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</si>
  <si>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</si>
  <si>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</si>
  <si>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</si>
  <si>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</si>
  <si>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</si>
  <si>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</si>
  <si>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</si>
  <si>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</si>
  <si>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</si>
  <si>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</si>
  <si>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</si>
  <si>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</si>
  <si>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</si>
  <si>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</si>
  <si>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</si>
  <si>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</si>
  <si>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</si>
  <si>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</si>
  <si>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</si>
  <si>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</si>
  <si>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</si>
  <si>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</si>
  <si>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</si>
  <si>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</si>
  <si>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</si>
  <si>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</si>
  <si>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</si>
  <si>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</si>
  <si>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</si>
  <si>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</si>
  <si>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</si>
  <si>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</si>
  <si>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</si>
  <si>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</si>
  <si>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</si>
  <si>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</si>
  <si>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</si>
  <si>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</si>
  <si>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</si>
  <si>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</si>
  <si>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</si>
  <si>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</si>
  <si>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</si>
  <si>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</si>
  <si>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</si>
  <si>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</si>
  <si>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</si>
  <si>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</si>
  <si>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办公用房</t>
  </si>
  <si>
    <t>办公用房</t>
    <phoneticPr fontId="16" type="noConversion"/>
  </si>
  <si>
    <t>收益法-办公</t>
  </si>
  <si>
    <t>收益法-办公</t>
    <phoneticPr fontId="16" type="noConversion"/>
  </si>
  <si>
    <t>收益法-商业</t>
  </si>
  <si>
    <t>收益法-商业</t>
    <phoneticPr fontId="16" type="noConversion"/>
  </si>
  <si>
    <t>——</t>
    <phoneticPr fontId="16" type="noConversion"/>
  </si>
  <si>
    <t>地下办公用房</t>
  </si>
  <si>
    <t>地下车库用房</t>
  </si>
  <si>
    <t>地下车库用房</t>
    <phoneticPr fontId="16" type="noConversion"/>
  </si>
  <si>
    <t>郑燚</t>
  </si>
  <si>
    <t>崔锴</t>
  </si>
  <si>
    <t>抵押</t>
  </si>
  <si>
    <t>房地产抵押价值</t>
  </si>
  <si>
    <t>已注销</t>
  </si>
  <si>
    <t>北京市</t>
  </si>
  <si>
    <t>企业</t>
  </si>
  <si>
    <t>出让</t>
  </si>
  <si>
    <t>综合项目（商业、办公）</t>
  </si>
  <si>
    <t>现房</t>
  </si>
  <si>
    <t>通路</t>
  </si>
  <si>
    <t>通电</t>
  </si>
  <si>
    <t>通讯</t>
  </si>
  <si>
    <t>通上水</t>
  </si>
  <si>
    <t>通下水</t>
  </si>
  <si>
    <t>平整</t>
  </si>
  <si>
    <t>是</t>
  </si>
  <si>
    <t>地上</t>
  </si>
  <si>
    <t>地下</t>
  </si>
  <si>
    <t>车库</t>
  </si>
  <si>
    <t>地下办公用房</t>
    <phoneticPr fontId="16" type="noConversion"/>
  </si>
  <si>
    <t>1层商业用房</t>
  </si>
  <si>
    <t>1层商业用房</t>
    <phoneticPr fontId="16" type="noConversion"/>
  </si>
  <si>
    <t>2层商业用房</t>
  </si>
  <si>
    <t>2层商业用房</t>
    <phoneticPr fontId="16" type="noConversion"/>
  </si>
  <si>
    <t>成新度</t>
  </si>
  <si>
    <t>比较法-商业</t>
  </si>
  <si>
    <t>比较法-车位</t>
  </si>
  <si>
    <t>比较法-车位</t>
    <phoneticPr fontId="16" type="noConversion"/>
  </si>
  <si>
    <t>收益法-车位</t>
  </si>
  <si>
    <t>收益法-车位</t>
    <phoneticPr fontId="16" type="noConversion"/>
  </si>
  <si>
    <t>——</t>
    <phoneticPr fontId="32" type="noConversion"/>
  </si>
  <si>
    <t>——</t>
    <phoneticPr fontId="32" type="noConversion"/>
  </si>
  <si>
    <t>标准写字楼</t>
  </si>
  <si>
    <t>标准写字楼</t>
    <phoneticPr fontId="32" type="noConversion"/>
  </si>
  <si>
    <t>钢混</t>
  </si>
  <si>
    <t>钢混</t>
    <phoneticPr fontId="32" type="noConversion"/>
  </si>
  <si>
    <t>甲级</t>
  </si>
  <si>
    <t>甲级</t>
    <phoneticPr fontId="32" type="noConversion"/>
  </si>
  <si>
    <t>专业</t>
  </si>
  <si>
    <t>专业</t>
    <phoneticPr fontId="32" type="noConversion"/>
  </si>
  <si>
    <t>六通</t>
  </si>
  <si>
    <t>六通</t>
    <phoneticPr fontId="32" type="noConversion"/>
  </si>
  <si>
    <t>标准层高</t>
  </si>
  <si>
    <t>标准层高</t>
    <phoneticPr fontId="32" type="noConversion"/>
  </si>
  <si>
    <t>精装修</t>
  </si>
  <si>
    <t>精装修</t>
    <phoneticPr fontId="32" type="noConversion"/>
  </si>
  <si>
    <t>较好</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</si>
  <si>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</si>
  <si>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办公</t>
    <phoneticPr fontId="32" type="noConversion"/>
  </si>
  <si>
    <t>20-30（含）</t>
  </si>
  <si>
    <t>正常</t>
  </si>
  <si>
    <t>估价对象周边道路状况、公共交通通达情况、停车便捷程度，综合评价交通便捷度较好</t>
  </si>
  <si>
    <t>估价对象所在区域公共配套设施齐备情况</t>
  </si>
  <si>
    <t>估价对象所在区域基础设施水平</t>
  </si>
  <si>
    <t>售价</t>
  </si>
  <si>
    <t>车库均为地下二层</t>
    <phoneticPr fontId="143" type="noConversion"/>
  </si>
  <si>
    <t>押一</t>
  </si>
  <si>
    <t>按租金收入计税</t>
  </si>
  <si>
    <t>非生产用房</t>
  </si>
  <si>
    <t>自定义</t>
  </si>
  <si>
    <t>3万</t>
    <phoneticPr fontId="143" type="noConversion"/>
  </si>
  <si>
    <r>
      <t>1年租金</t>
    </r>
    <r>
      <rPr>
        <sz val="11"/>
        <color theme="1"/>
        <rFont val="宋体"/>
        <family val="3"/>
        <charset val="134"/>
        <scheme val="minor"/>
      </rPr>
      <t>4</t>
    </r>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</si>
  <si>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</si>
  <si>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31" type="noConversion"/>
  </si>
  <si>
    <t>较好</t>
    <phoneticPr fontId="31" type="noConversion"/>
  </si>
  <si>
    <t>较大</t>
  </si>
  <si>
    <t>较大</t>
    <phoneticPr fontId="31" type="noConversion"/>
  </si>
  <si>
    <t>单面临街</t>
  </si>
  <si>
    <t>单面临街</t>
    <phoneticPr fontId="31" type="noConversion"/>
  </si>
  <si>
    <t>办公底商</t>
  </si>
  <si>
    <t>办公底商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</si>
  <si>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</si>
  <si>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</si>
  <si>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</si>
  <si>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</si>
  <si>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</si>
  <si>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phoneticPr fontId="31" type="noConversion"/>
  </si>
  <si>
    <t>商业</t>
    <phoneticPr fontId="31" type="noConversion"/>
  </si>
  <si>
    <t>一层</t>
  </si>
  <si>
    <t>一层</t>
    <phoneticPr fontId="31" type="noConversion"/>
  </si>
  <si>
    <t>1层商业</t>
    <phoneticPr fontId="25" type="noConversion"/>
  </si>
  <si>
    <r>
      <t>2</t>
    </r>
    <r>
      <rPr>
        <sz val="10"/>
        <color indexed="8"/>
        <rFont val="宋体"/>
        <family val="3"/>
        <charset val="134"/>
      </rPr>
      <t>层商业</t>
    </r>
    <phoneticPr fontId="25" type="noConversion"/>
  </si>
  <si>
    <t>元/车位</t>
  </si>
  <si>
    <t>地下车位</t>
  </si>
  <si>
    <t>地下车位</t>
    <phoneticPr fontId="32" type="noConversion"/>
  </si>
  <si>
    <t>地下一层</t>
  </si>
  <si>
    <t>地下一层</t>
    <phoneticPr fontId="32" type="noConversion"/>
  </si>
  <si>
    <t>普通装修</t>
  </si>
  <si>
    <t>普通装修</t>
    <phoneticPr fontId="32" type="noConversion"/>
  </si>
  <si>
    <t>专业物业</t>
  </si>
  <si>
    <t>专业物业</t>
    <phoneticPr fontId="32" type="noConversion"/>
  </si>
  <si>
    <t>否</t>
  </si>
  <si>
    <t>否</t>
    <phoneticPr fontId="32" type="noConversion"/>
  </si>
  <si>
    <t>普通车位</t>
  </si>
  <si>
    <t>普通车位</t>
    <phoneticPr fontId="32" type="noConversion"/>
  </si>
  <si>
    <t>序号</t>
    <phoneticPr fontId="3" type="noConversion"/>
  </si>
  <si>
    <t>房号</t>
    <phoneticPr fontId="3" type="noConversion"/>
  </si>
  <si>
    <t>房屋权证号</t>
    <phoneticPr fontId="3" type="noConversion"/>
  </si>
  <si>
    <t>土地使用证号</t>
    <phoneticPr fontId="3" type="noConversion"/>
  </si>
  <si>
    <t>土地面积</t>
    <phoneticPr fontId="3" type="noConversion"/>
  </si>
  <si>
    <t>高斓大厦出租情况表（2019.10）</t>
    <phoneticPr fontId="3" type="noConversion"/>
  </si>
  <si>
    <r>
      <rPr>
        <sz val="9"/>
        <rFont val="宋体"/>
        <family val="3"/>
        <charset val="134"/>
      </rPr>
      <t>序号</t>
    </r>
  </si>
  <si>
    <t>房号</t>
  </si>
  <si>
    <t>客户名称</t>
  </si>
  <si>
    <t xml:space="preserve">面积 </t>
  </si>
  <si>
    <t>单价</t>
  </si>
  <si>
    <t>月租金</t>
  </si>
  <si>
    <r>
      <rPr>
        <sz val="10"/>
        <rFont val="华文中宋"/>
        <family val="3"/>
        <charset val="134"/>
      </rPr>
      <t>起租日期</t>
    </r>
    <phoneticPr fontId="3" type="noConversion"/>
  </si>
  <si>
    <r>
      <rPr>
        <sz val="10"/>
        <rFont val="华文中宋"/>
        <family val="3"/>
        <charset val="134"/>
      </rPr>
      <t>到期日期</t>
    </r>
    <phoneticPr fontId="3" type="noConversion"/>
  </si>
  <si>
    <t>备注</t>
    <phoneticPr fontId="3" type="noConversion"/>
  </si>
  <si>
    <t>北京兴荣伟业装饰有限公司</t>
    <phoneticPr fontId="257" type="noConversion"/>
  </si>
  <si>
    <t>106-107</t>
    <phoneticPr fontId="3" type="noConversion"/>
  </si>
  <si>
    <t>华联咖世家（北京）餐饮管理有限公司</t>
    <phoneticPr fontId="3" type="noConversion"/>
  </si>
  <si>
    <t>按营业额支付租金、物业费</t>
    <phoneticPr fontId="3" type="noConversion"/>
  </si>
  <si>
    <t>108-109</t>
    <phoneticPr fontId="257" type="noConversion"/>
  </si>
  <si>
    <t>便利蜂商贸有限公司</t>
    <phoneticPr fontId="257" type="noConversion"/>
  </si>
  <si>
    <t>121-123/125</t>
    <phoneticPr fontId="257" type="noConversion"/>
  </si>
  <si>
    <t>北京柯林森国际教育咨询有限公司</t>
    <phoneticPr fontId="257" type="noConversion"/>
  </si>
  <si>
    <t>北京华创绿谷商贸有限公司</t>
    <phoneticPr fontId="257" type="noConversion"/>
  </si>
  <si>
    <t>130-133</t>
    <phoneticPr fontId="257" type="noConversion"/>
  </si>
  <si>
    <t>落基山水业（北京）有限公司</t>
    <phoneticPr fontId="257" type="noConversion"/>
  </si>
  <si>
    <r>
      <rPr>
        <sz val="9"/>
        <rFont val="宋体"/>
        <family val="3"/>
        <charset val="134"/>
      </rPr>
      <t>鼎盛寰宇（北京）商贸有限公司</t>
    </r>
  </si>
  <si>
    <t>201/205</t>
    <phoneticPr fontId="3" type="noConversion"/>
  </si>
  <si>
    <t>北京盛世影隆文化传播有限公司</t>
    <phoneticPr fontId="3" type="noConversion"/>
  </si>
  <si>
    <t>206-207</t>
    <phoneticPr fontId="3" type="noConversion"/>
  </si>
  <si>
    <t>北京合正利方投资管理有限公司</t>
    <phoneticPr fontId="257" type="noConversion"/>
  </si>
  <si>
    <r>
      <rPr>
        <sz val="9"/>
        <rFont val="宋体"/>
        <family val="3"/>
        <charset val="134"/>
      </rPr>
      <t>住友化学（上海）有限公司</t>
    </r>
    <phoneticPr fontId="3" type="noConversion"/>
  </si>
  <si>
    <t>209-210</t>
  </si>
  <si>
    <t>北京正经熊文化传媒有限公司</t>
    <phoneticPr fontId="257" type="noConversion"/>
  </si>
  <si>
    <t>211-215</t>
    <phoneticPr fontId="3" type="noConversion"/>
  </si>
  <si>
    <r>
      <rPr>
        <sz val="9"/>
        <rFont val="宋体"/>
        <family val="3"/>
        <charset val="134"/>
      </rPr>
      <t>北京联东伟业科技发展有限公司</t>
    </r>
    <phoneticPr fontId="3" type="noConversion"/>
  </si>
  <si>
    <t>217</t>
    <phoneticPr fontId="257" type="noConversion"/>
  </si>
  <si>
    <t>演界大开（北京）文化传媒有限公司</t>
    <phoneticPr fontId="257" type="noConversion"/>
  </si>
  <si>
    <t>218/221/230-1</t>
    <phoneticPr fontId="3" type="noConversion"/>
  </si>
  <si>
    <r>
      <rPr>
        <sz val="9"/>
        <rFont val="宋体"/>
        <family val="3"/>
        <charset val="134"/>
      </rPr>
      <t>东阳伯乐影视服务有限公司</t>
    </r>
  </si>
  <si>
    <r>
      <rPr>
        <sz val="9"/>
        <rFont val="宋体"/>
        <family val="3"/>
        <charset val="134"/>
      </rPr>
      <t>北京伯乐世纪文化传播有限公司</t>
    </r>
    <phoneticPr fontId="3" type="noConversion"/>
  </si>
  <si>
    <t>231</t>
  </si>
  <si>
    <r>
      <rPr>
        <sz val="9"/>
        <rFont val="宋体"/>
        <family val="3"/>
        <charset val="134"/>
      </rPr>
      <t>北京天海传承文化传媒有限公司</t>
    </r>
  </si>
  <si>
    <t>232-233/235-251</t>
    <phoneticPr fontId="257" type="noConversion"/>
  </si>
  <si>
    <t>南京海仞影视文化传媒有限公司</t>
    <phoneticPr fontId="257" type="noConversion"/>
  </si>
  <si>
    <t>2018.5-15</t>
  </si>
  <si>
    <r>
      <t>3</t>
    </r>
    <r>
      <rPr>
        <sz val="9"/>
        <rFont val="宋体"/>
        <family val="3"/>
        <charset val="134"/>
      </rPr>
      <t>层</t>
    </r>
  </si>
  <si>
    <r>
      <rPr>
        <sz val="9"/>
        <rFont val="宋体"/>
        <family val="3"/>
        <charset val="134"/>
      </rPr>
      <t>联邦快递（中国）有限公司</t>
    </r>
  </si>
  <si>
    <r>
      <rPr>
        <sz val="9"/>
        <rFont val="宋体"/>
        <family val="3"/>
        <charset val="134"/>
      </rPr>
      <t>伊势德丽卡（北京）食品有限公司</t>
    </r>
  </si>
  <si>
    <r>
      <t>524</t>
    </r>
    <r>
      <rPr>
        <sz val="9"/>
        <rFont val="宋体"/>
        <family val="3"/>
        <charset val="134"/>
      </rPr>
      <t>、</t>
    </r>
    <r>
      <rPr>
        <sz val="9"/>
        <rFont val="Arial"/>
        <family val="2"/>
      </rPr>
      <t>526-528</t>
    </r>
    <phoneticPr fontId="257" type="noConversion"/>
  </si>
  <si>
    <t>北京市金平律师事务所</t>
    <phoneticPr fontId="257" type="noConversion"/>
  </si>
  <si>
    <r>
      <t>701-703</t>
    </r>
    <r>
      <rPr>
        <sz val="9"/>
        <rFont val="宋体"/>
        <family val="3"/>
        <charset val="134"/>
      </rPr>
      <t>、</t>
    </r>
    <r>
      <rPr>
        <sz val="9"/>
        <rFont val="Arial"/>
        <family val="2"/>
      </rPr>
      <t>705-706</t>
    </r>
    <r>
      <rPr>
        <sz val="9"/>
        <rFont val="宋体"/>
        <family val="3"/>
        <charset val="134"/>
      </rPr>
      <t>、</t>
    </r>
    <r>
      <rPr>
        <sz val="9"/>
        <rFont val="Arial"/>
        <family val="2"/>
      </rPr>
      <t>726</t>
    </r>
    <phoneticPr fontId="257" type="noConversion"/>
  </si>
  <si>
    <t>中工美（北京）供应链物流管理股份有限公司</t>
    <phoneticPr fontId="3" type="noConversion"/>
  </si>
  <si>
    <t>707-709</t>
    <phoneticPr fontId="257" type="noConversion"/>
  </si>
  <si>
    <t>北京建王建筑环境设计院有限公司</t>
    <phoneticPr fontId="257" type="noConversion"/>
  </si>
  <si>
    <t>710</t>
    <phoneticPr fontId="257" type="noConversion"/>
  </si>
  <si>
    <t>北京建王园林工程有限公司</t>
    <phoneticPr fontId="257" type="noConversion"/>
  </si>
  <si>
    <r>
      <t>711</t>
    </r>
    <r>
      <rPr>
        <sz val="9"/>
        <rFont val="宋体"/>
        <family val="3"/>
        <charset val="134"/>
      </rPr>
      <t>、</t>
    </r>
    <r>
      <rPr>
        <sz val="9"/>
        <rFont val="Arial"/>
        <family val="2"/>
      </rPr>
      <t>712</t>
    </r>
    <r>
      <rPr>
        <sz val="9"/>
        <rFont val="宋体"/>
        <family val="3"/>
        <charset val="134"/>
      </rPr>
      <t>、</t>
    </r>
    <r>
      <rPr>
        <sz val="9"/>
        <rFont val="Arial"/>
        <family val="2"/>
      </rPr>
      <t>715</t>
    </r>
    <phoneticPr fontId="257" type="noConversion"/>
  </si>
  <si>
    <t>深圳海棠果影业有限公司</t>
    <phoneticPr fontId="257" type="noConversion"/>
  </si>
  <si>
    <t>725</t>
    <phoneticPr fontId="257" type="noConversion"/>
  </si>
  <si>
    <t>北京正道国际拍卖有限公司</t>
    <phoneticPr fontId="3" type="noConversion"/>
  </si>
  <si>
    <t>807-809</t>
  </si>
  <si>
    <r>
      <rPr>
        <sz val="9"/>
        <rFont val="宋体"/>
        <family val="3"/>
        <charset val="134"/>
      </rPr>
      <t>来实建筑系统（上海）有限公司</t>
    </r>
  </si>
  <si>
    <t>816-817</t>
    <phoneticPr fontId="3" type="noConversion"/>
  </si>
  <si>
    <r>
      <rPr>
        <sz val="9"/>
        <rFont val="宋体"/>
        <family val="3"/>
        <charset val="134"/>
      </rPr>
      <t>北京世纪润海科技发展有限公司</t>
    </r>
    <phoneticPr fontId="3" type="noConversion"/>
  </si>
  <si>
    <t>903-909</t>
  </si>
  <si>
    <r>
      <rPr>
        <sz val="9"/>
        <rFont val="宋体"/>
        <family val="3"/>
        <charset val="134"/>
      </rPr>
      <t>泽普林固体物料技术（北京）有限公司</t>
    </r>
  </si>
  <si>
    <t>中安正信（北京）科技发展有限公司</t>
    <phoneticPr fontId="257" type="noConversion"/>
  </si>
  <si>
    <t>北京法茉莉生物科技有限公司</t>
    <phoneticPr fontId="257" type="noConversion"/>
  </si>
  <si>
    <t>北京橡树天空国际美容美发有限公司</t>
  </si>
  <si>
    <t>1107-1108</t>
    <phoneticPr fontId="257" type="noConversion"/>
  </si>
  <si>
    <r>
      <rPr>
        <sz val="9"/>
        <rFont val="宋体"/>
        <family val="3"/>
        <charset val="134"/>
      </rPr>
      <t>北京七街健身俱乐部管理有限公司</t>
    </r>
  </si>
  <si>
    <t>1112-1115</t>
    <phoneticPr fontId="257" type="noConversion"/>
  </si>
  <si>
    <r>
      <rPr>
        <sz val="9"/>
        <rFont val="宋体"/>
        <family val="3"/>
        <charset val="134"/>
      </rPr>
      <t>北京筑艺城装饰工程有限责任公司</t>
    </r>
  </si>
  <si>
    <t>1125-1126</t>
    <phoneticPr fontId="257" type="noConversion"/>
  </si>
  <si>
    <t>北京汇正谦合浆纸有限公司</t>
    <phoneticPr fontId="257" type="noConversion"/>
  </si>
  <si>
    <t>1206-1207</t>
  </si>
  <si>
    <r>
      <rPr>
        <sz val="9"/>
        <rFont val="宋体"/>
        <family val="3"/>
        <charset val="134"/>
      </rPr>
      <t>赛盟伴热工程（上海）有限公司北京办事处</t>
    </r>
  </si>
  <si>
    <t>1208-1210</t>
    <phoneticPr fontId="257" type="noConversion"/>
  </si>
  <si>
    <t>北京智云联众科技有限公司</t>
    <phoneticPr fontId="257" type="noConversion"/>
  </si>
  <si>
    <t>广州极至国际旅行社有限公司</t>
    <phoneticPr fontId="3" type="noConversion"/>
  </si>
  <si>
    <r>
      <rPr>
        <sz val="9"/>
        <rFont val="宋体"/>
        <family val="3"/>
        <charset val="134"/>
      </rPr>
      <t>德联科贸（北京）有限公司</t>
    </r>
    <phoneticPr fontId="3" type="noConversion"/>
  </si>
  <si>
    <t>1302A</t>
  </si>
  <si>
    <r>
      <rPr>
        <sz val="9"/>
        <rFont val="宋体"/>
        <family val="3"/>
        <charset val="134"/>
      </rPr>
      <t>香港</t>
    </r>
    <r>
      <rPr>
        <sz val="9"/>
        <rFont val="Arial"/>
        <family val="2"/>
      </rPr>
      <t>CDM</t>
    </r>
    <r>
      <rPr>
        <sz val="9"/>
        <rFont val="宋体"/>
        <family val="3"/>
        <charset val="134"/>
      </rPr>
      <t>技术服务有限公司北京代表处</t>
    </r>
    <phoneticPr fontId="3" type="noConversion"/>
  </si>
  <si>
    <t>1305-1306</t>
    <phoneticPr fontId="257" type="noConversion"/>
  </si>
  <si>
    <t>北京上古方生物科技有限公司</t>
    <phoneticPr fontId="257" type="noConversion"/>
  </si>
  <si>
    <t>1308</t>
  </si>
  <si>
    <r>
      <rPr>
        <sz val="9"/>
        <rFont val="宋体"/>
        <family val="3"/>
        <charset val="134"/>
      </rPr>
      <t>北京盛世美天投资管理有限公司</t>
    </r>
  </si>
  <si>
    <t>1309</t>
  </si>
  <si>
    <r>
      <rPr>
        <sz val="9"/>
        <rFont val="宋体"/>
        <family val="3"/>
        <charset val="134"/>
      </rPr>
      <t>北京美沃斯科技发展有限公司</t>
    </r>
  </si>
  <si>
    <t>1310</t>
  </si>
  <si>
    <r>
      <rPr>
        <sz val="9"/>
        <rFont val="宋体"/>
        <family val="3"/>
        <charset val="134"/>
      </rPr>
      <t>北京美沃斯管理咨询有限公司</t>
    </r>
  </si>
  <si>
    <t>1312</t>
    <phoneticPr fontId="257" type="noConversion"/>
  </si>
  <si>
    <t>北京同心合意科技中心（有限合伙）</t>
    <phoneticPr fontId="257" type="noConversion"/>
  </si>
  <si>
    <t>1315</t>
    <phoneticPr fontId="257" type="noConversion"/>
  </si>
  <si>
    <t>北京尊宝国际旅行社有限公司</t>
    <phoneticPr fontId="257" type="noConversion"/>
  </si>
  <si>
    <r>
      <rPr>
        <sz val="9"/>
        <rFont val="宋体"/>
        <family val="3"/>
        <charset val="134"/>
      </rPr>
      <t>上海韵羽经贸有限公司北京分公司</t>
    </r>
  </si>
  <si>
    <t>1317-1318</t>
  </si>
  <si>
    <r>
      <rPr>
        <sz val="9"/>
        <rFont val="宋体"/>
        <family val="3"/>
        <charset val="134"/>
      </rPr>
      <t>北京亮马河投资管理有限公司</t>
    </r>
  </si>
  <si>
    <t>1319</t>
    <phoneticPr fontId="3" type="noConversion"/>
  </si>
  <si>
    <r>
      <rPr>
        <sz val="9"/>
        <rFont val="宋体"/>
        <family val="3"/>
        <charset val="134"/>
      </rPr>
      <t>北京航芯微科技有限公司</t>
    </r>
    <phoneticPr fontId="3" type="noConversion"/>
  </si>
  <si>
    <t>1320</t>
    <phoneticPr fontId="3" type="noConversion"/>
  </si>
  <si>
    <r>
      <rPr>
        <sz val="9"/>
        <rFont val="宋体"/>
        <family val="3"/>
        <charset val="134"/>
      </rPr>
      <t>北京微星航天电子科技有限公司</t>
    </r>
    <phoneticPr fontId="3" type="noConversion"/>
  </si>
  <si>
    <r>
      <rPr>
        <sz val="9"/>
        <rFont val="宋体"/>
        <family val="3"/>
        <charset val="134"/>
      </rPr>
      <t>北京诚亚商贸有限公司</t>
    </r>
  </si>
  <si>
    <t>北京上商贸易有限公司</t>
    <phoneticPr fontId="257" type="noConversion"/>
  </si>
  <si>
    <r>
      <rPr>
        <sz val="9"/>
        <rFont val="宋体"/>
        <family val="3"/>
        <charset val="134"/>
      </rPr>
      <t>法格锻压机床</t>
    </r>
    <r>
      <rPr>
        <sz val="9"/>
        <rFont val="Arial"/>
        <family val="2"/>
      </rPr>
      <t>(</t>
    </r>
    <r>
      <rPr>
        <sz val="9"/>
        <rFont val="宋体"/>
        <family val="3"/>
        <charset val="134"/>
      </rPr>
      <t>昆山</t>
    </r>
    <r>
      <rPr>
        <sz val="9"/>
        <rFont val="Arial"/>
        <family val="2"/>
      </rPr>
      <t>)</t>
    </r>
    <r>
      <rPr>
        <sz val="9"/>
        <rFont val="宋体"/>
        <family val="3"/>
        <charset val="134"/>
      </rPr>
      <t>有限公司北京分公司</t>
    </r>
    <phoneticPr fontId="3" type="noConversion"/>
  </si>
  <si>
    <r>
      <rPr>
        <sz val="9"/>
        <rFont val="宋体"/>
        <family val="3"/>
        <charset val="134"/>
      </rPr>
      <t>北京安中德国际贸易有限责任公司</t>
    </r>
    <phoneticPr fontId="3" type="noConversion"/>
  </si>
  <si>
    <t>百肤谜（北京）生物科技有限公司</t>
    <phoneticPr fontId="257" type="noConversion"/>
  </si>
  <si>
    <t>1701</t>
    <phoneticPr fontId="3" type="noConversion"/>
  </si>
  <si>
    <r>
      <rPr>
        <sz val="9"/>
        <rFont val="宋体"/>
        <family val="3"/>
        <charset val="134"/>
      </rPr>
      <t>东玺科膜科技（天津）有限公司</t>
    </r>
    <phoneticPr fontId="3" type="noConversion"/>
  </si>
  <si>
    <t>1705</t>
    <phoneticPr fontId="257" type="noConversion"/>
  </si>
  <si>
    <t>北京德宝信城科技有限公司（有限合伙）</t>
    <phoneticPr fontId="257" type="noConversion"/>
  </si>
  <si>
    <t>1706-1708</t>
    <phoneticPr fontId="257" type="noConversion"/>
  </si>
  <si>
    <t>中顺信特安供应链有限公司</t>
    <phoneticPr fontId="257" type="noConversion"/>
  </si>
  <si>
    <t>1709/1711/1712</t>
    <phoneticPr fontId="257" type="noConversion"/>
  </si>
  <si>
    <t>1712A-1714</t>
    <phoneticPr fontId="3" type="noConversion"/>
  </si>
  <si>
    <t>东风标致雪铁龙汽车销售有限责任公司</t>
    <phoneticPr fontId="3" type="noConversion"/>
  </si>
  <si>
    <t>1807-1808</t>
  </si>
  <si>
    <r>
      <rPr>
        <sz val="9"/>
        <rFont val="宋体"/>
        <family val="3"/>
        <charset val="134"/>
      </rPr>
      <t>上海莱蒙商务国际旅行社有限公司北京分社</t>
    </r>
    <phoneticPr fontId="3" type="noConversion"/>
  </si>
  <si>
    <t>1815-1816</t>
    <phoneticPr fontId="257" type="noConversion"/>
  </si>
  <si>
    <t>北京易佰在线医疗器械有限责任公司</t>
    <phoneticPr fontId="257" type="noConversion"/>
  </si>
  <si>
    <r>
      <t>1901-1902</t>
    </r>
    <r>
      <rPr>
        <sz val="9"/>
        <rFont val="宋体"/>
        <family val="3"/>
        <charset val="134"/>
      </rPr>
      <t>、</t>
    </r>
    <r>
      <rPr>
        <sz val="9"/>
        <rFont val="Arial"/>
        <family val="2"/>
      </rPr>
      <t>1920-1926</t>
    </r>
    <phoneticPr fontId="257" type="noConversion"/>
  </si>
  <si>
    <t>京天轮（北京）文化有限公司</t>
    <phoneticPr fontId="257" type="noConversion"/>
  </si>
  <si>
    <t>1903-1910</t>
  </si>
  <si>
    <t>1911/1912/1915</t>
    <phoneticPr fontId="3" type="noConversion"/>
  </si>
  <si>
    <t>东阳有名堂文化传媒有限公司</t>
    <phoneticPr fontId="257" type="noConversion"/>
  </si>
  <si>
    <t>1916-1917</t>
    <phoneticPr fontId="3" type="noConversion"/>
  </si>
  <si>
    <t>东阳有名堂文化传媒有限公司</t>
    <phoneticPr fontId="3" type="noConversion"/>
  </si>
  <si>
    <r>
      <t>B2</t>
    </r>
    <r>
      <rPr>
        <sz val="9"/>
        <rFont val="宋体"/>
        <family val="3"/>
        <charset val="134"/>
      </rPr>
      <t>库房</t>
    </r>
    <r>
      <rPr>
        <sz val="9"/>
        <rFont val="Arial"/>
        <family val="2"/>
      </rPr>
      <t>-01</t>
    </r>
    <phoneticPr fontId="257" type="noConversion"/>
  </si>
  <si>
    <t>北京美沃斯管理咨询有限公司</t>
    <phoneticPr fontId="3" type="noConversion"/>
  </si>
  <si>
    <r>
      <t>B3</t>
    </r>
    <r>
      <rPr>
        <sz val="9"/>
        <rFont val="宋体"/>
        <family val="3"/>
        <charset val="134"/>
      </rPr>
      <t>库房</t>
    </r>
    <r>
      <rPr>
        <sz val="9"/>
        <rFont val="Arial"/>
        <family val="2"/>
      </rPr>
      <t>-02</t>
    </r>
    <phoneticPr fontId="257" type="noConversion"/>
  </si>
  <si>
    <r>
      <t>15</t>
    </r>
    <r>
      <rPr>
        <sz val="9"/>
        <rFont val="宋体"/>
        <family val="3"/>
        <charset val="134"/>
      </rPr>
      <t>层</t>
    </r>
    <phoneticPr fontId="257" type="noConversion"/>
  </si>
  <si>
    <t>高伟达软件股份有限公司</t>
    <phoneticPr fontId="257" type="noConversion"/>
  </si>
  <si>
    <t>2019年只交物业管理费</t>
    <phoneticPr fontId="257" type="noConversion"/>
  </si>
  <si>
    <t>用途</t>
    <phoneticPr fontId="3" type="noConversion"/>
  </si>
  <si>
    <t>出租店铺</t>
    <phoneticPr fontId="3" type="noConversion"/>
  </si>
  <si>
    <t>抵押日期</t>
    <phoneticPr fontId="3" type="noConversion"/>
  </si>
  <si>
    <t>2017-12-13/2017-12-27</t>
    <phoneticPr fontId="3" type="noConversion"/>
  </si>
  <si>
    <t>土地终止日期</t>
    <phoneticPr fontId="3" type="noConversion"/>
  </si>
  <si>
    <t>三层</t>
  </si>
  <si>
    <t>1206-1212</t>
  </si>
  <si>
    <t>1212A</t>
  </si>
  <si>
    <r>
      <t>京房权证市朝港澳台字第</t>
    </r>
    <r>
      <rPr>
        <sz val="10"/>
        <color theme="1"/>
        <rFont val="Arial"/>
        <family val="2"/>
      </rPr>
      <t>1170025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</si>
  <si>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1170025</t>
    </r>
    <r>
      <rPr>
        <sz val="10"/>
        <color theme="1"/>
        <rFont val="华文细黑"/>
        <family val="3"/>
        <charset val="134"/>
      </rPr>
      <t>号</t>
    </r>
  </si>
  <si>
    <r>
      <t>520</t>
    </r>
    <r>
      <rPr>
        <sz val="10"/>
        <color theme="1"/>
        <rFont val="华文细黑"/>
        <family val="3"/>
        <charset val="134"/>
      </rPr>
      <t>、</t>
    </r>
    <r>
      <rPr>
        <sz val="10"/>
        <color theme="1"/>
        <rFont val="Arial"/>
        <family val="2"/>
      </rPr>
      <t>524</t>
    </r>
    <r>
      <rPr>
        <sz val="10"/>
        <color theme="1"/>
        <rFont val="华文细黑"/>
        <family val="3"/>
        <charset val="134"/>
      </rPr>
      <t>、</t>
    </r>
    <r>
      <rPr>
        <sz val="10"/>
        <color theme="1"/>
        <rFont val="Arial"/>
        <family val="2"/>
      </rPr>
      <t>526-528</t>
    </r>
  </si>
  <si>
    <r>
      <t>京房权证市朝港澳台字第</t>
    </r>
    <r>
      <rPr>
        <sz val="10"/>
        <color theme="1"/>
        <rFont val="Arial"/>
        <family val="2"/>
      </rPr>
      <t>1170042</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</si>
  <si>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1170042</t>
    </r>
    <r>
      <rPr>
        <sz val="10"/>
        <color theme="1"/>
        <rFont val="华文细黑"/>
        <family val="3"/>
        <charset val="134"/>
      </rPr>
      <t>号</t>
    </r>
  </si>
  <si>
    <r>
      <t>701-715</t>
    </r>
    <r>
      <rPr>
        <sz val="10"/>
        <color theme="1"/>
        <rFont val="华文细黑"/>
        <family val="3"/>
        <charset val="134"/>
      </rPr>
      <t>、</t>
    </r>
    <r>
      <rPr>
        <sz val="10"/>
        <color theme="1"/>
        <rFont val="Arial"/>
        <family val="2"/>
      </rPr>
      <t>725-726</t>
    </r>
  </si>
  <si>
    <r>
      <t>京房权证市朝港澳台字第</t>
    </r>
    <r>
      <rPr>
        <sz val="10"/>
        <color theme="1"/>
        <rFont val="Arial"/>
        <family val="2"/>
      </rPr>
      <t>1170043</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</si>
  <si>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1170043</t>
    </r>
    <r>
      <rPr>
        <sz val="10"/>
        <color theme="1"/>
        <rFont val="华文细黑"/>
        <family val="3"/>
        <charset val="134"/>
      </rPr>
      <t>号</t>
    </r>
  </si>
  <si>
    <r>
      <t>807-809</t>
    </r>
    <r>
      <rPr>
        <sz val="10"/>
        <color theme="1"/>
        <rFont val="华文细黑"/>
        <family val="3"/>
        <charset val="134"/>
      </rPr>
      <t>、</t>
    </r>
    <r>
      <rPr>
        <sz val="10"/>
        <color theme="1"/>
        <rFont val="Arial"/>
        <family val="2"/>
      </rPr>
      <t>812-817</t>
    </r>
  </si>
  <si>
    <r>
      <t>京房权证市朝港澳台字第</t>
    </r>
    <r>
      <rPr>
        <sz val="10"/>
        <color theme="1"/>
        <rFont val="Arial"/>
        <family val="2"/>
      </rPr>
      <t>1170044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</si>
  <si>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1170044</t>
    </r>
    <r>
      <rPr>
        <sz val="10"/>
        <color theme="1"/>
        <rFont val="华文细黑"/>
        <family val="3"/>
        <charset val="134"/>
      </rPr>
      <t>号</t>
    </r>
  </si>
  <si>
    <r>
      <t>903-909</t>
    </r>
    <r>
      <rPr>
        <sz val="10"/>
        <color theme="1"/>
        <rFont val="华文细黑"/>
        <family val="3"/>
        <charset val="134"/>
      </rPr>
      <t>、</t>
    </r>
    <r>
      <rPr>
        <sz val="10"/>
        <color theme="1"/>
        <rFont val="Arial"/>
        <family val="2"/>
      </rPr>
      <t>912-915</t>
    </r>
    <r>
      <rPr>
        <sz val="10"/>
        <color theme="1"/>
        <rFont val="华文细黑"/>
        <family val="3"/>
        <charset val="134"/>
      </rPr>
      <t>、</t>
    </r>
    <r>
      <rPr>
        <sz val="10"/>
        <color theme="1"/>
        <rFont val="Arial"/>
        <family val="2"/>
      </rPr>
      <t>920</t>
    </r>
  </si>
  <si>
    <r>
      <t>京房权证市朝港澳台字第</t>
    </r>
    <r>
      <rPr>
        <sz val="10"/>
        <color theme="1"/>
        <rFont val="Arial"/>
        <family val="2"/>
      </rPr>
      <t>1170034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</si>
  <si>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1170034</t>
    </r>
    <r>
      <rPr>
        <sz val="10"/>
        <color theme="1"/>
        <rFont val="华文细黑"/>
        <family val="3"/>
        <charset val="134"/>
      </rPr>
      <t>号</t>
    </r>
  </si>
  <si>
    <r>
      <t>1105-1110</t>
    </r>
    <r>
      <rPr>
        <sz val="10"/>
        <color theme="1"/>
        <rFont val="华文细黑"/>
        <family val="3"/>
        <charset val="134"/>
      </rPr>
      <t>、</t>
    </r>
    <r>
      <rPr>
        <sz val="10"/>
        <color theme="1"/>
        <rFont val="Arial"/>
        <family val="2"/>
      </rPr>
      <t>1112-1115</t>
    </r>
  </si>
  <si>
    <r>
      <t>京房权证市朝港澳台字第</t>
    </r>
    <r>
      <rPr>
        <sz val="10"/>
        <color theme="1"/>
        <rFont val="Arial"/>
        <family val="2"/>
      </rPr>
      <t>1170045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</si>
  <si>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1170045</t>
    </r>
    <r>
      <rPr>
        <sz val="10"/>
        <color theme="1"/>
        <rFont val="华文细黑"/>
        <family val="3"/>
        <charset val="134"/>
      </rPr>
      <t>号</t>
    </r>
  </si>
  <si>
    <r>
      <t>京房权证市朝港澳台字第</t>
    </r>
    <r>
      <rPr>
        <sz val="10"/>
        <color theme="1"/>
        <rFont val="Arial"/>
        <family val="2"/>
      </rPr>
      <t>1170046</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</si>
  <si>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1170046</t>
    </r>
    <r>
      <rPr>
        <sz val="10"/>
        <color theme="1"/>
        <rFont val="华文细黑"/>
        <family val="3"/>
        <charset val="134"/>
      </rPr>
      <t>号</t>
    </r>
  </si>
  <si>
    <r>
      <t>13</t>
    </r>
    <r>
      <rPr>
        <sz val="10"/>
        <color theme="1"/>
        <rFont val="华文细黑"/>
        <family val="3"/>
        <charset val="134"/>
      </rPr>
      <t>层</t>
    </r>
  </si>
  <si>
    <r>
      <t>京房权证市朝港澳台字第</t>
    </r>
    <r>
      <rPr>
        <sz val="10"/>
        <color theme="1"/>
        <rFont val="Arial"/>
        <family val="2"/>
      </rPr>
      <t>1170082</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</si>
  <si>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1170082</t>
    </r>
    <r>
      <rPr>
        <sz val="10"/>
        <color theme="1"/>
        <rFont val="华文细黑"/>
        <family val="3"/>
        <charset val="134"/>
      </rPr>
      <t>号</t>
    </r>
  </si>
  <si>
    <r>
      <t>1807-1808</t>
    </r>
    <r>
      <rPr>
        <sz val="10"/>
        <color theme="1"/>
        <rFont val="华文细黑"/>
        <family val="3"/>
        <charset val="134"/>
      </rPr>
      <t>、</t>
    </r>
    <r>
      <rPr>
        <sz val="10"/>
        <color theme="1"/>
        <rFont val="Arial"/>
        <family val="2"/>
      </rPr>
      <t>1812-1816</t>
    </r>
  </si>
  <si>
    <r>
      <t>京房权证市朝港澳台字第</t>
    </r>
    <r>
      <rPr>
        <sz val="10"/>
        <color theme="1"/>
        <rFont val="Arial"/>
        <family val="2"/>
      </rPr>
      <t>1170048</t>
    </r>
    <r>
      <rPr>
        <sz val="10"/>
        <color theme="1"/>
        <rFont val="华文细黑"/>
        <family val="3"/>
        <charset val="134"/>
      </rPr>
      <t>号</t>
    </r>
  </si>
  <si>
    <r>
      <t>市朝港澳台国用（</t>
    </r>
    <r>
      <rPr>
        <sz val="10"/>
        <color theme="1"/>
        <rFont val="Arial"/>
        <family val="2"/>
      </rPr>
      <t>2002</t>
    </r>
    <r>
      <rPr>
        <sz val="10"/>
        <color theme="1"/>
        <rFont val="华文细黑"/>
        <family val="3"/>
        <charset val="134"/>
      </rPr>
      <t>出）字第</t>
    </r>
    <r>
      <rPr>
        <sz val="10"/>
        <color theme="1"/>
        <rFont val="Arial"/>
        <family val="2"/>
      </rPr>
      <t>1170048</t>
    </r>
    <r>
      <rPr>
        <sz val="10"/>
        <color theme="1"/>
        <rFont val="华文细黑"/>
        <family val="3"/>
        <charset val="134"/>
      </rPr>
      <t>号</t>
    </r>
  </si>
  <si>
    <r>
      <t>19</t>
    </r>
    <r>
      <rPr>
        <sz val="10"/>
        <color theme="1"/>
        <rFont val="华文细黑"/>
        <family val="3"/>
        <charset val="134"/>
      </rPr>
      <t>层</t>
    </r>
  </si>
  <si>
    <r>
      <t>京房权证市朝港澳台字第</t>
    </r>
    <r>
      <rPr>
        <sz val="10"/>
        <color theme="1"/>
        <rFont val="Arial"/>
        <family val="2"/>
      </rPr>
      <t>1170083</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</si>
  <si>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1170083</t>
    </r>
    <r>
      <rPr>
        <sz val="10"/>
        <color theme="1"/>
        <rFont val="华文细黑"/>
        <family val="3"/>
        <charset val="134"/>
      </rPr>
      <t>号</t>
    </r>
  </si>
  <si>
    <r>
      <t>1-8</t>
    </r>
    <r>
      <rPr>
        <sz val="10"/>
        <color theme="1"/>
        <rFont val="华文细黑"/>
        <family val="3"/>
        <charset val="134"/>
      </rPr>
      <t>、员工宿舍</t>
    </r>
  </si>
  <si>
    <r>
      <t>京房权证市朝港澳台字第</t>
    </r>
    <r>
      <rPr>
        <sz val="10"/>
        <color theme="1"/>
        <rFont val="Arial"/>
        <family val="2"/>
      </rPr>
      <t>1170049</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</si>
  <si>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1170049</t>
    </r>
    <r>
      <rPr>
        <sz val="10"/>
        <color theme="1"/>
        <rFont val="华文细黑"/>
        <family val="3"/>
        <charset val="134"/>
      </rPr>
      <t>号</t>
    </r>
  </si>
  <si>
    <r>
      <t>1</t>
    </r>
    <r>
      <rPr>
        <sz val="10"/>
        <color theme="1"/>
        <rFont val="华文细黑"/>
        <family val="3"/>
        <charset val="134"/>
      </rPr>
      <t>层</t>
    </r>
  </si>
  <si>
    <r>
      <t>X</t>
    </r>
    <r>
      <rPr>
        <sz val="10"/>
        <color theme="1"/>
        <rFont val="华文细黑"/>
        <family val="3"/>
        <charset val="134"/>
      </rPr>
      <t>京房权证朝字第</t>
    </r>
    <r>
      <rPr>
        <sz val="10"/>
        <color theme="1"/>
        <rFont val="Arial"/>
        <family val="2"/>
      </rPr>
      <t>776088</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</si>
  <si>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1170041</t>
    </r>
    <r>
      <rPr>
        <sz val="10"/>
        <color theme="1"/>
        <rFont val="华文细黑"/>
        <family val="3"/>
        <charset val="134"/>
      </rPr>
      <t>号</t>
    </r>
  </si>
  <si>
    <r>
      <t>201-203</t>
    </r>
    <r>
      <rPr>
        <sz val="10"/>
        <color theme="1"/>
        <rFont val="华文细黑"/>
        <family val="3"/>
        <charset val="134"/>
      </rPr>
      <t>、</t>
    </r>
    <r>
      <rPr>
        <sz val="10"/>
        <color theme="1"/>
        <rFont val="Arial"/>
        <family val="2"/>
      </rPr>
      <t>205</t>
    </r>
    <r>
      <rPr>
        <sz val="10"/>
        <color theme="1"/>
        <rFont val="华文细黑"/>
        <family val="3"/>
        <charset val="134"/>
      </rPr>
      <t>、</t>
    </r>
    <r>
      <rPr>
        <sz val="10"/>
        <color theme="1"/>
        <rFont val="Arial"/>
        <family val="2"/>
      </rPr>
      <t>208-211</t>
    </r>
    <r>
      <rPr>
        <sz val="10"/>
        <color theme="1"/>
        <rFont val="华文细黑"/>
        <family val="3"/>
        <charset val="134"/>
      </rPr>
      <t>、</t>
    </r>
    <r>
      <rPr>
        <sz val="10"/>
        <color theme="1"/>
        <rFont val="Arial"/>
        <family val="2"/>
      </rPr>
      <t>213</t>
    </r>
    <r>
      <rPr>
        <sz val="10"/>
        <color theme="1"/>
        <rFont val="华文细黑"/>
        <family val="3"/>
        <charset val="134"/>
      </rPr>
      <t>、</t>
    </r>
    <r>
      <rPr>
        <sz val="10"/>
        <color theme="1"/>
        <rFont val="Arial"/>
        <family val="2"/>
      </rPr>
      <t>215-218</t>
    </r>
    <r>
      <rPr>
        <sz val="10"/>
        <color theme="1"/>
        <rFont val="华文细黑"/>
        <family val="3"/>
        <charset val="134"/>
      </rPr>
      <t>、</t>
    </r>
    <r>
      <rPr>
        <sz val="10"/>
        <color theme="1"/>
        <rFont val="Arial"/>
        <family val="2"/>
      </rPr>
      <t>230</t>
    </r>
    <r>
      <rPr>
        <sz val="10"/>
        <color theme="1"/>
        <rFont val="华文细黑"/>
        <family val="3"/>
        <charset val="134"/>
      </rPr>
      <t>、</t>
    </r>
    <r>
      <rPr>
        <sz val="10"/>
        <color theme="1"/>
        <rFont val="Arial"/>
        <family val="2"/>
      </rPr>
      <t>232-233</t>
    </r>
    <r>
      <rPr>
        <sz val="10"/>
        <color theme="1"/>
        <rFont val="华文细黑"/>
        <family val="3"/>
        <charset val="134"/>
      </rPr>
      <t>、</t>
    </r>
    <r>
      <rPr>
        <sz val="10"/>
        <color theme="1"/>
        <rFont val="Arial"/>
        <family val="2"/>
      </rPr>
      <t>235-239</t>
    </r>
    <r>
      <rPr>
        <sz val="10"/>
        <color theme="1"/>
        <rFont val="华文细黑"/>
        <family val="3"/>
        <charset val="134"/>
      </rPr>
      <t>、</t>
    </r>
    <r>
      <rPr>
        <sz val="10"/>
        <color theme="1"/>
        <rFont val="Arial"/>
        <family val="2"/>
      </rPr>
      <t>250</t>
    </r>
    <r>
      <rPr>
        <sz val="10"/>
        <color theme="1"/>
        <rFont val="华文细黑"/>
        <family val="3"/>
        <charset val="134"/>
      </rPr>
      <t>、</t>
    </r>
    <r>
      <rPr>
        <sz val="10"/>
        <color theme="1"/>
        <rFont val="Arial"/>
        <family val="2"/>
      </rPr>
      <t>251</t>
    </r>
  </si>
  <si>
    <r>
      <t>京房权证市朝港澳台字第</t>
    </r>
    <r>
      <rPr>
        <sz val="10"/>
        <color theme="1"/>
        <rFont val="Arial"/>
        <family val="2"/>
      </rPr>
      <t>1170061</t>
    </r>
    <r>
      <rPr>
        <sz val="10"/>
        <color theme="1"/>
        <rFont val="华文细黑"/>
        <family val="3"/>
        <charset val="134"/>
      </rPr>
      <t>号</t>
    </r>
  </si>
  <si>
    <r>
      <t>京市朝港澳台国用（</t>
    </r>
    <r>
      <rPr>
        <sz val="10"/>
        <color theme="1"/>
        <rFont val="Arial"/>
        <family val="2"/>
      </rPr>
      <t>2003</t>
    </r>
    <r>
      <rPr>
        <sz val="10"/>
        <color theme="1"/>
        <rFont val="华文细黑"/>
        <family val="3"/>
        <charset val="134"/>
      </rPr>
      <t>出）字第</t>
    </r>
    <r>
      <rPr>
        <sz val="10"/>
        <color theme="1"/>
        <rFont val="Arial"/>
        <family val="2"/>
      </rPr>
      <t>1170061</t>
    </r>
    <r>
      <rPr>
        <sz val="10"/>
        <color theme="1"/>
        <rFont val="华文细黑"/>
        <family val="3"/>
        <charset val="134"/>
      </rPr>
      <t>号</t>
    </r>
  </si>
  <si>
    <r>
      <t>206</t>
    </r>
    <r>
      <rPr>
        <sz val="10"/>
        <color theme="1"/>
        <rFont val="华文细黑"/>
        <family val="3"/>
        <charset val="134"/>
      </rPr>
      <t>、</t>
    </r>
    <r>
      <rPr>
        <sz val="10"/>
        <color theme="1"/>
        <rFont val="Arial"/>
        <family val="2"/>
      </rPr>
      <t>207</t>
    </r>
  </si>
  <si>
    <t>建筑面积</t>
  </si>
  <si>
    <t>建筑面积</t>
    <phoneticPr fontId="3" type="noConversion"/>
  </si>
  <si>
    <t>商业</t>
    <phoneticPr fontId="3" type="noConversion"/>
  </si>
  <si>
    <t>2017-12-18/2017-12-27</t>
    <phoneticPr fontId="3" type="noConversion"/>
  </si>
  <si>
    <t>办公</t>
    <phoneticPr fontId="3" type="noConversion"/>
  </si>
  <si>
    <t>建成年代</t>
    <phoneticPr fontId="3" type="noConversion"/>
  </si>
  <si>
    <t>总楼层</t>
    <phoneticPr fontId="3" type="noConversion"/>
  </si>
  <si>
    <t>2017-12-20/2017-12-27</t>
    <phoneticPr fontId="3" type="noConversion"/>
  </si>
  <si>
    <r>
      <t>1501-1503</t>
    </r>
    <r>
      <rPr>
        <sz val="10"/>
        <color theme="1"/>
        <rFont val="宋体"/>
        <family val="3"/>
        <charset val="134"/>
      </rPr>
      <t>、</t>
    </r>
    <r>
      <rPr>
        <sz val="10"/>
        <color theme="1"/>
        <rFont val="Arial"/>
        <family val="2"/>
      </rPr>
      <t>1526</t>
    </r>
    <phoneticPr fontId="3" type="noConversion"/>
  </si>
  <si>
    <t>——</t>
    <phoneticPr fontId="3" type="noConversion"/>
  </si>
  <si>
    <t>写字楼</t>
    <phoneticPr fontId="3" type="noConversion"/>
  </si>
  <si>
    <t>地下车库</t>
    <phoneticPr fontId="3" type="noConversion"/>
  </si>
  <si>
    <t>均为地下二层</t>
    <phoneticPr fontId="3" type="noConversion"/>
  </si>
  <si>
    <t>京（2018）朝不动产权第0113567号</t>
    <phoneticPr fontId="3" type="noConversion"/>
  </si>
  <si>
    <t>——</t>
    <phoneticPr fontId="3" type="noConversion"/>
  </si>
  <si>
    <t>无</t>
    <phoneticPr fontId="3" type="noConversion"/>
  </si>
  <si>
    <t>车位</t>
    <phoneticPr fontId="3" type="noConversion"/>
  </si>
  <si>
    <t>京（2018）朝不动产权第0123372号</t>
    <phoneticPr fontId="3" type="noConversion"/>
  </si>
  <si>
    <t>京（2018）朝不动产权第0113694号</t>
    <phoneticPr fontId="3" type="noConversion"/>
  </si>
  <si>
    <t>1505-1508</t>
  </si>
  <si>
    <t>1505-1508</t>
    <phoneticPr fontId="3" type="noConversion"/>
  </si>
  <si>
    <t>京（2018）朝不动产权第0113575号</t>
    <phoneticPr fontId="3" type="noConversion"/>
  </si>
  <si>
    <t>1509-1512</t>
  </si>
  <si>
    <t>1509-1512</t>
    <phoneticPr fontId="3" type="noConversion"/>
  </si>
  <si>
    <t>京（2018）朝不动产权第0118145号</t>
    <phoneticPr fontId="3" type="noConversion"/>
  </si>
  <si>
    <t>1515-1518</t>
  </si>
  <si>
    <t>1515-1518</t>
    <phoneticPr fontId="3" type="noConversion"/>
  </si>
  <si>
    <t>京（2018）朝不动产权第0123148号</t>
    <phoneticPr fontId="3" type="noConversion"/>
  </si>
  <si>
    <r>
      <t>1601-1603</t>
    </r>
    <r>
      <rPr>
        <sz val="10"/>
        <color theme="1"/>
        <rFont val="宋体"/>
        <family val="3"/>
        <charset val="134"/>
      </rPr>
      <t>、</t>
    </r>
    <r>
      <rPr>
        <sz val="10"/>
        <color theme="1"/>
        <rFont val="Arial"/>
        <family val="2"/>
      </rPr>
      <t>1626</t>
    </r>
    <phoneticPr fontId="3" type="noConversion"/>
  </si>
  <si>
    <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</si>
  <si>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t>京（</t>
    </r>
    <r>
      <rPr>
        <sz val="10"/>
        <rFont val="Arial"/>
        <family val="2"/>
      </rPr>
      <t>2016</t>
    </r>
    <r>
      <rPr>
        <sz val="10"/>
        <rFont val="华文细黑"/>
        <family val="3"/>
        <charset val="134"/>
      </rPr>
      <t>）朝阳区不动产权第</t>
    </r>
    <r>
      <rPr>
        <sz val="10"/>
        <rFont val="Arial"/>
        <family val="2"/>
      </rPr>
      <t>0174042</t>
    </r>
    <r>
      <rPr>
        <sz val="10"/>
        <rFont val="华文细黑"/>
        <family val="3"/>
        <charset val="134"/>
      </rPr>
      <t>号</t>
    </r>
  </si>
  <si>
    <t>京（2018）朝不动产权第0118141号</t>
    <phoneticPr fontId="3" type="noConversion"/>
  </si>
  <si>
    <t>1519-1521</t>
  </si>
  <si>
    <t>1519-1521</t>
    <phoneticPr fontId="3" type="noConversion"/>
  </si>
  <si>
    <t>京（2018）朝不动产权第0118146号</t>
    <phoneticPr fontId="3" type="noConversion"/>
  </si>
  <si>
    <r>
      <t>1522</t>
    </r>
    <r>
      <rPr>
        <sz val="10"/>
        <color theme="1"/>
        <rFont val="宋体"/>
        <family val="3"/>
        <charset val="134"/>
      </rPr>
      <t>、</t>
    </r>
    <r>
      <rPr>
        <sz val="10"/>
        <color theme="1"/>
        <rFont val="Arial"/>
        <family val="2"/>
      </rPr>
      <t>1523</t>
    </r>
    <r>
      <rPr>
        <sz val="10"/>
        <color theme="1"/>
        <rFont val="宋体"/>
        <family val="3"/>
        <charset val="134"/>
      </rPr>
      <t>、</t>
    </r>
    <r>
      <rPr>
        <sz val="10"/>
        <color theme="1"/>
        <rFont val="Arial"/>
        <family val="2"/>
      </rPr>
      <t>1525</t>
    </r>
    <phoneticPr fontId="3" type="noConversion"/>
  </si>
  <si>
    <t>京（2018）朝不动产权第0126175号</t>
    <phoneticPr fontId="3" type="noConversion"/>
  </si>
  <si>
    <t>1605-1608</t>
  </si>
  <si>
    <t>1605-1608</t>
    <phoneticPr fontId="3" type="noConversion"/>
  </si>
  <si>
    <t>京（2018）朝不动产权第0123180号</t>
    <phoneticPr fontId="3" type="noConversion"/>
  </si>
  <si>
    <t>1609-1612</t>
  </si>
  <si>
    <t>1609-1612</t>
    <phoneticPr fontId="3" type="noConversion"/>
  </si>
  <si>
    <t>京（2018）朝不动产权第0126128号</t>
    <phoneticPr fontId="3" type="noConversion"/>
  </si>
  <si>
    <t>1615-1618</t>
  </si>
  <si>
    <t>1615-1618</t>
    <phoneticPr fontId="3" type="noConversion"/>
  </si>
  <si>
    <t>京（2018）朝不动产权第0126147号</t>
    <phoneticPr fontId="3" type="noConversion"/>
  </si>
  <si>
    <t>1619-1621</t>
  </si>
  <si>
    <t>1619-1621</t>
    <phoneticPr fontId="3" type="noConversion"/>
  </si>
  <si>
    <t>京（2018）朝不动产权第0126144号</t>
    <phoneticPr fontId="3" type="noConversion"/>
  </si>
  <si>
    <r>
      <t>1622</t>
    </r>
    <r>
      <rPr>
        <sz val="10"/>
        <color theme="1"/>
        <rFont val="宋体"/>
        <family val="3"/>
        <charset val="134"/>
      </rPr>
      <t>、</t>
    </r>
    <r>
      <rPr>
        <sz val="10"/>
        <color theme="1"/>
        <rFont val="Arial"/>
        <family val="2"/>
      </rPr>
      <t>1623</t>
    </r>
    <r>
      <rPr>
        <sz val="10"/>
        <color theme="1"/>
        <rFont val="宋体"/>
        <family val="3"/>
        <charset val="134"/>
      </rPr>
      <t>、</t>
    </r>
    <r>
      <rPr>
        <sz val="10"/>
        <color theme="1"/>
        <rFont val="Arial"/>
        <family val="2"/>
      </rPr>
      <t>1625</t>
    </r>
    <phoneticPr fontId="3" type="noConversion"/>
  </si>
  <si>
    <t>估价对象位于亮马桥路南侧，周边商业氛围成熟一般，人流量一般，商业繁华度一般</t>
    <phoneticPr fontId="25" type="noConversion"/>
  </si>
  <si>
    <t>估价对象位于亮马桥路南侧，周边办公楼项目较多，入驻率较高，办公集聚程度较好</t>
    <phoneticPr fontId="25" type="noConversion"/>
  </si>
  <si>
    <t>估价对象周边道路状况较好、公共交通通达情况较好、停车便捷程度较好，周边有地铁14号线东风北桥站，周边有402/403等公交线路，综合评价交通便捷度较好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</si>
  <si>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</si>
  <si>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</si>
  <si>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区域自然环境好：周边临近朝阳公园；人文环境好：周边临近农业展览馆；综合评价环境状况好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</si>
  <si>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亮马桥路</t>
    </r>
    <phoneticPr fontId="25" type="noConversion"/>
  </si>
  <si>
    <t>较一致</t>
    <phoneticPr fontId="25" type="noConversion"/>
  </si>
  <si>
    <t>按面积比例</t>
  </si>
  <si>
    <t>高斓大厦</t>
    <phoneticPr fontId="3" type="noConversion"/>
  </si>
  <si>
    <t>上东8号</t>
    <phoneticPr fontId="3" type="noConversion"/>
  </si>
  <si>
    <t>观湖国际</t>
    <phoneticPr fontId="3" type="noConversion"/>
  </si>
  <si>
    <t>首开铂郡</t>
    <phoneticPr fontId="3" type="noConversion"/>
  </si>
  <si>
    <t>估价对象所在区域公共配套设施齐备情况较好</t>
    <phoneticPr fontId="32" type="noConversion"/>
  </si>
  <si>
    <t>估价对象所在区域基础设施水平较好</t>
    <phoneticPr fontId="32" type="noConversion"/>
  </si>
  <si>
    <t>区域自然环境；人文环境；综合评价环境状况好</t>
    <phoneticPr fontId="32" type="noConversion"/>
  </si>
  <si>
    <t>好</t>
  </si>
  <si>
    <t>地下二层</t>
  </si>
  <si>
    <t>地下二层</t>
    <phoneticPr fontId="32" type="noConversion"/>
  </si>
  <si>
    <t>一般</t>
  </si>
  <si>
    <t>10-20（含）</t>
  </si>
  <si>
    <t>城市次干道</t>
  </si>
  <si>
    <t>城市次干道</t>
    <phoneticPr fontId="32" type="noConversion"/>
  </si>
  <si>
    <t>高区</t>
  </si>
  <si>
    <t>高区</t>
    <phoneticPr fontId="32" type="noConversion"/>
  </si>
  <si>
    <t>中区</t>
  </si>
  <si>
    <t>中区</t>
    <phoneticPr fontId="32" type="noConversion"/>
  </si>
  <si>
    <t>低区</t>
  </si>
  <si>
    <t>低区</t>
    <phoneticPr fontId="32" type="noConversion"/>
  </si>
  <si>
    <t>城市次干道</t>
    <phoneticPr fontId="32" type="noConversion"/>
  </si>
  <si>
    <t>燃气</t>
  </si>
  <si>
    <t>天元港中心</t>
    <phoneticPr fontId="3" type="noConversion"/>
  </si>
  <si>
    <t>新恒基国际大厦</t>
    <phoneticPr fontId="3" type="noConversion"/>
  </si>
  <si>
    <t>京信大厦</t>
    <phoneticPr fontId="3" type="noConversion"/>
  </si>
  <si>
    <t>周边办公楼项目较多，入驻率高，办公集聚程度较好</t>
    <phoneticPr fontId="32" type="noConversion"/>
  </si>
  <si>
    <t>区域自然环境：；人文环境；综合评价环境状况好</t>
    <phoneticPr fontId="32" type="noConversion"/>
  </si>
  <si>
    <t>周边商业氛围成熟，人流量大，商业繁华度一般</t>
    <phoneticPr fontId="31" type="noConversion"/>
  </si>
  <si>
    <t>区域自然环境；人文环境；综合评价环境状况好</t>
    <phoneticPr fontId="31" type="noConversion"/>
  </si>
  <si>
    <t>好运街商铺</t>
    <phoneticPr fontId="3" type="noConversion"/>
  </si>
  <si>
    <t>高区</t>
    <phoneticPr fontId="143" type="noConversion"/>
  </si>
  <si>
    <t>中区</t>
    <phoneticPr fontId="143" type="noConversion"/>
  </si>
  <si>
    <t>低区</t>
    <phoneticPr fontId="143" type="noConversion"/>
  </si>
  <si>
    <t>地下</t>
    <phoneticPr fontId="143" type="noConversion"/>
  </si>
  <si>
    <t>520、524、526-528</t>
  </si>
  <si>
    <t>701-715、725-726</t>
  </si>
  <si>
    <t>807-809、812-817</t>
  </si>
  <si>
    <t>903-909、912-915、920</t>
  </si>
  <si>
    <t>1105-1110、1112-1115</t>
  </si>
  <si>
    <t>13层</t>
  </si>
  <si>
    <t>1807-1808、1812-1816</t>
  </si>
  <si>
    <t>19层</t>
  </si>
  <si>
    <t>1-8、员工宿舍</t>
  </si>
  <si>
    <t>1501-1503、1526</t>
  </si>
  <si>
    <t>1601-1603、1626</t>
  </si>
  <si>
    <t>1522、1523、1525</t>
  </si>
  <si>
    <t>1622、1623、1625</t>
  </si>
  <si>
    <t>14--20</t>
    <phoneticPr fontId="143" type="noConversion"/>
  </si>
  <si>
    <t>1--7</t>
    <phoneticPr fontId="143" type="noConversion"/>
  </si>
  <si>
    <t>8--13</t>
    <phoneticPr fontId="143" type="noConversion"/>
  </si>
  <si>
    <t>高区</t>
    <phoneticPr fontId="143" type="noConversion"/>
  </si>
  <si>
    <t>三层办公用房</t>
  </si>
  <si>
    <t>三层办公用房</t>
    <phoneticPr fontId="1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</si>
  <si>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</si>
  <si>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</si>
  <si>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</si>
  <si>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</si>
  <si>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</si>
  <si>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</si>
  <si>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</si>
  <si>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</si>
  <si>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北京市朝阳区亮马桥路</t>
    </r>
    <r>
      <rPr>
        <sz val="9"/>
        <color theme="1"/>
        <rFont val="Arial"/>
        <family val="2"/>
      </rPr>
      <t>32</t>
    </r>
    <r>
      <rPr>
        <sz val="9"/>
        <color theme="1"/>
        <rFont val="华文细黑"/>
        <family val="3"/>
        <charset val="134"/>
      </rPr>
      <t>号（高斓大厦）部分商业用房房地产</t>
    </r>
  </si>
  <si>
    <r>
      <t>北京市朝阳区亮马桥路</t>
    </r>
    <r>
      <rPr>
        <sz val="9"/>
        <color theme="1"/>
        <rFont val="Arial"/>
        <family val="2"/>
      </rPr>
      <t>32</t>
    </r>
    <r>
      <rPr>
        <sz val="9"/>
        <color theme="1"/>
        <rFont val="华文细黑"/>
        <family val="3"/>
        <charset val="134"/>
      </rPr>
      <t>号（高斓大厦）部分办公用房房地产</t>
    </r>
  </si>
  <si>
    <r>
      <t>北京市朝阳区亮马桥路</t>
    </r>
    <r>
      <rPr>
        <sz val="9"/>
        <color theme="1"/>
        <rFont val="Arial"/>
        <family val="2"/>
      </rPr>
      <t>32</t>
    </r>
    <r>
      <rPr>
        <sz val="9"/>
        <color theme="1"/>
        <rFont val="华文细黑"/>
        <family val="3"/>
        <charset val="134"/>
      </rPr>
      <t>号（高斓大厦）部分地下车库用房房地产</t>
    </r>
  </si>
  <si>
    <t>大写金额</t>
  </si>
  <si>
    <t>估价师知悉的法定优先受偿款</t>
  </si>
  <si>
    <t>零元整</t>
  </si>
  <si>
    <t>抵押担保权已注销时的房地产抵押价值</t>
  </si>
  <si>
    <t>基准地价修正</t>
    <phoneticPr fontId="16" type="noConversion"/>
  </si>
  <si>
    <t>收益法（汇总）</t>
    <phoneticPr fontId="16" type="noConversion"/>
  </si>
  <si>
    <t>成本法</t>
    <phoneticPr fontId="16" type="noConversion"/>
  </si>
  <si>
    <t>商务金融用地（办公类）</t>
  </si>
  <si>
    <t>容积率修正</t>
  </si>
  <si>
    <t>自定义容积率</t>
  </si>
  <si>
    <t>按公示增长率计算</t>
  </si>
  <si>
    <t>与级别开发程度不一致</t>
  </si>
  <si>
    <t>商务金融用地（商业类）</t>
  </si>
  <si>
    <t>好</t>
    <phoneticPr fontId="143" type="noConversion"/>
  </si>
  <si>
    <t>较好</t>
    <phoneticPr fontId="143" type="noConversion"/>
  </si>
  <si>
    <t>不临58条商业街</t>
  </si>
  <si>
    <t>未包含在土地购买价格中</t>
  </si>
  <si>
    <t>全部缴纳</t>
  </si>
  <si>
    <t>已包含在土地取得成本中</t>
  </si>
  <si>
    <t>30-40（含）</t>
  </si>
  <si>
    <t>比较法-办公</t>
  </si>
  <si>
    <t>朝阳蓝色港湾周边商街</t>
    <phoneticPr fontId="3" type="noConversion"/>
  </si>
  <si>
    <t>凤凰商街</t>
    <phoneticPr fontId="3" type="noConversion"/>
  </si>
  <si>
    <t>商街</t>
  </si>
  <si>
    <t>商街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</si>
</sst>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quot;￥&quot;* #,##0.00_ ;_ &quot;￥&quot;* \-#,##0.00_ ;_ &quot;￥&quot;* &quot;-&quot;??_ ;_ @_ "/>
    <numFmt numFmtId="198" formatCode="#,##0.00_ "/>
    <numFmt numFmtId="199"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9"/>
      <color theme="1"/>
      <name val="宋体"/>
      <family val="3"/>
      <charset val="134"/>
      <scheme val="minor"/>
    </font>
    <font>
      <sz val="9"/>
      <name val="宋体"/>
      <family val="2"/>
      <charset val="134"/>
      <scheme val="minor"/>
    </font>
    <font>
      <sz val="9"/>
      <name val="Arial"/>
      <family val="2"/>
    </font>
    <font>
      <sz val="10"/>
      <name val="华文中宋"/>
      <family val="3"/>
      <charset val="134"/>
    </font>
    <font>
      <sz val="10"/>
      <color theme="1"/>
      <name val="宋体"/>
      <family val="2"/>
      <charset val="134"/>
      <scheme val="minor"/>
    </font>
    <font>
      <sz val="9"/>
      <color rgb="FFFF0000"/>
      <name val="宋体"/>
      <family val="3"/>
      <charset val="134"/>
      <scheme val="minor"/>
    </font>
    <font>
      <sz val="9"/>
      <color rgb="FF000000"/>
      <name val="宋体"/>
      <family val="2"/>
    </font>
    <font>
      <sz val="9"/>
      <color theme="1"/>
      <name val="Arial"/>
      <family val="2"/>
    </font>
    <font>
      <sz val="10"/>
      <color rgb="FFFF0000"/>
      <name val="宋体"/>
      <family val="3"/>
      <charset val="134"/>
      <scheme val="minor"/>
    </font>
    <font>
      <sz val="10"/>
      <color theme="1"/>
      <name val="华文细黑"/>
      <family val="3"/>
      <charset val="134"/>
    </font>
    <font>
      <sz val="10"/>
      <color rgb="FFFF0000"/>
      <name val="华文细黑"/>
      <family val="3"/>
      <charset val="134"/>
    </font>
    <font>
      <sz val="10"/>
      <name val="华文细黑"/>
      <family val="3"/>
      <charset val="134"/>
    </font>
    <font>
      <sz val="9"/>
      <color theme="1"/>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37" fillId="0" borderId="0">
      <alignment vertical="center"/>
    </xf>
    <xf numFmtId="0" fontId="37" fillId="0" borderId="0">
      <alignment vertical="center"/>
    </xf>
    <xf numFmtId="43" fontId="37" fillId="0" borderId="0" applyFont="0" applyFill="0" applyBorder="0" applyAlignment="0" applyProtection="0">
      <alignment vertical="center"/>
    </xf>
    <xf numFmtId="0" fontId="175" fillId="0" borderId="0"/>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 fillId="7" borderId="1" xfId="0" applyFont="1" applyFill="1" applyBorder="1" applyAlignment="1">
      <alignment horizontal="left" vertical="center"/>
    </xf>
    <xf numFmtId="0" fontId="258" fillId="7" borderId="1" xfId="19" applyNumberFormat="1" applyFont="1" applyFill="1" applyBorder="1" applyAlignment="1">
      <alignment horizontal="left" vertical="center"/>
    </xf>
    <xf numFmtId="0" fontId="3" fillId="7" borderId="1" xfId="19" applyFont="1" applyFill="1" applyBorder="1" applyAlignment="1" applyProtection="1">
      <alignment horizontal="left" vertical="center"/>
    </xf>
    <xf numFmtId="176" fontId="258" fillId="7" borderId="1" xfId="19" applyNumberFormat="1" applyFont="1" applyFill="1" applyBorder="1" applyAlignment="1">
      <alignment horizontal="left" vertical="center"/>
    </xf>
    <xf numFmtId="2" fontId="258" fillId="7" borderId="1" xfId="19" applyNumberFormat="1" applyFont="1" applyFill="1" applyBorder="1" applyAlignment="1">
      <alignment horizontal="left" vertical="center"/>
    </xf>
    <xf numFmtId="14" fontId="258" fillId="7" borderId="1" xfId="19" applyNumberFormat="1" applyFont="1" applyFill="1" applyBorder="1" applyAlignment="1">
      <alignment horizontal="left" vertical="center"/>
    </xf>
    <xf numFmtId="0" fontId="258" fillId="0" borderId="1" xfId="19" applyNumberFormat="1" applyFont="1" applyFill="1" applyBorder="1" applyAlignment="1">
      <alignment horizontal="left" vertical="center"/>
    </xf>
    <xf numFmtId="0" fontId="3" fillId="0" borderId="1" xfId="19" applyFont="1" applyFill="1" applyBorder="1" applyAlignment="1" applyProtection="1">
      <alignment horizontal="left" vertical="center"/>
    </xf>
    <xf numFmtId="176" fontId="258" fillId="0" borderId="1" xfId="19" applyNumberFormat="1" applyFont="1" applyFill="1" applyBorder="1" applyAlignment="1">
      <alignment horizontal="left" vertical="center"/>
    </xf>
    <xf numFmtId="2" fontId="258" fillId="0" borderId="1" xfId="19" applyNumberFormat="1" applyFont="1" applyFill="1" applyBorder="1" applyAlignment="1">
      <alignment horizontal="left" vertical="center"/>
    </xf>
    <xf numFmtId="14" fontId="258" fillId="0" borderId="1" xfId="19" applyNumberFormat="1" applyFont="1" applyFill="1" applyBorder="1" applyAlignment="1">
      <alignment horizontal="left" vertical="center"/>
    </xf>
    <xf numFmtId="14" fontId="138" fillId="0" borderId="1" xfId="19" applyNumberFormat="1" applyFont="1" applyFill="1" applyBorder="1" applyAlignment="1">
      <alignment horizontal="left" vertical="center"/>
    </xf>
    <xf numFmtId="196" fontId="258" fillId="7" borderId="1" xfId="19" applyNumberFormat="1" applyFont="1" applyFill="1" applyBorder="1" applyAlignment="1">
      <alignment horizontal="left" vertical="center"/>
    </xf>
    <xf numFmtId="0" fontId="258" fillId="7" borderId="1" xfId="19" applyFont="1" applyFill="1" applyBorder="1" applyAlignment="1" applyProtection="1">
      <alignment horizontal="left" vertical="center"/>
    </xf>
    <xf numFmtId="49" fontId="258" fillId="7" borderId="1" xfId="19" applyNumberFormat="1" applyFont="1" applyFill="1" applyBorder="1" applyAlignment="1">
      <alignment horizontal="left" vertical="center"/>
    </xf>
    <xf numFmtId="49" fontId="258" fillId="7" borderId="1" xfId="19" applyNumberFormat="1" applyFont="1" applyFill="1" applyBorder="1" applyAlignment="1">
      <alignment horizontal="left" vertical="center" wrapText="1"/>
    </xf>
    <xf numFmtId="0" fontId="3" fillId="7" borderId="1" xfId="19" applyFont="1" applyFill="1" applyBorder="1" applyAlignment="1" applyProtection="1">
      <alignment horizontal="left" vertical="center" wrapText="1"/>
    </xf>
    <xf numFmtId="176" fontId="258" fillId="7" borderId="1" xfId="19" applyNumberFormat="1" applyFont="1" applyFill="1" applyBorder="1" applyAlignment="1">
      <alignment horizontal="left" vertical="center" wrapText="1"/>
    </xf>
    <xf numFmtId="2" fontId="258" fillId="7" borderId="1" xfId="19" applyNumberFormat="1" applyFont="1" applyFill="1" applyBorder="1" applyAlignment="1">
      <alignment horizontal="left" vertical="center" wrapText="1"/>
    </xf>
    <xf numFmtId="14" fontId="258" fillId="7" borderId="1" xfId="19" applyNumberFormat="1" applyFont="1" applyFill="1" applyBorder="1" applyAlignment="1">
      <alignment horizontal="left" vertical="center" wrapText="1"/>
    </xf>
    <xf numFmtId="0" fontId="258" fillId="7" borderId="1" xfId="19" applyFont="1" applyFill="1" applyBorder="1" applyAlignment="1" applyProtection="1">
      <alignment horizontal="left" vertical="center" wrapText="1"/>
    </xf>
    <xf numFmtId="0" fontId="258" fillId="7" borderId="1" xfId="20" applyFont="1" applyFill="1" applyBorder="1" applyAlignment="1">
      <alignment horizontal="left" vertical="center"/>
    </xf>
    <xf numFmtId="0" fontId="258" fillId="7" borderId="1" xfId="19" applyFont="1" applyFill="1" applyBorder="1" applyAlignment="1">
      <alignment horizontal="left" vertical="center"/>
    </xf>
    <xf numFmtId="0" fontId="258" fillId="7" borderId="1" xfId="19" applyNumberFormat="1" applyFont="1" applyFill="1" applyBorder="1" applyAlignment="1" applyProtection="1">
      <alignment horizontal="left" vertical="center"/>
    </xf>
    <xf numFmtId="176" fontId="258" fillId="7" borderId="1" xfId="21" applyNumberFormat="1" applyFont="1" applyFill="1" applyBorder="1" applyAlignment="1">
      <alignment horizontal="left" vertical="center"/>
    </xf>
    <xf numFmtId="0" fontId="262" fillId="0" borderId="156" xfId="22" applyFont="1" applyBorder="1" applyAlignment="1">
      <alignment horizontal="left" vertical="center" wrapText="1"/>
    </xf>
    <xf numFmtId="0" fontId="3" fillId="7" borderId="1" xfId="19" applyNumberFormat="1" applyFont="1" applyFill="1" applyBorder="1" applyAlignment="1" applyProtection="1">
      <alignment horizontal="left" vertical="center"/>
    </xf>
    <xf numFmtId="0" fontId="258" fillId="0" borderId="1" xfId="19" applyFont="1" applyFill="1" applyBorder="1" applyAlignment="1">
      <alignment horizontal="left" vertical="center"/>
    </xf>
    <xf numFmtId="0" fontId="258" fillId="7" borderId="0" xfId="19" applyFont="1" applyFill="1" applyBorder="1" applyAlignment="1">
      <alignment horizontal="left" vertical="center"/>
    </xf>
    <xf numFmtId="0" fontId="258" fillId="7" borderId="0" xfId="19" applyFont="1" applyFill="1" applyBorder="1" applyAlignment="1" applyProtection="1">
      <alignment horizontal="left" vertical="center"/>
    </xf>
    <xf numFmtId="176" fontId="242" fillId="7" borderId="0" xfId="19" applyNumberFormat="1" applyFont="1" applyFill="1" applyBorder="1" applyAlignment="1">
      <alignment horizontal="left" vertical="center"/>
    </xf>
    <xf numFmtId="2" fontId="258" fillId="7" borderId="0" xfId="19" applyNumberFormat="1" applyFont="1" applyFill="1" applyBorder="1" applyAlignment="1">
      <alignment horizontal="left" vertical="center"/>
    </xf>
    <xf numFmtId="14" fontId="258" fillId="7" borderId="0" xfId="19" applyNumberFormat="1" applyFont="1" applyFill="1" applyBorder="1" applyAlignment="1">
      <alignment horizontal="left" vertical="center"/>
    </xf>
    <xf numFmtId="0" fontId="19" fillId="7" borderId="0" xfId="0" applyFont="1" applyFill="1" applyAlignment="1">
      <alignment horizontal="left" vertical="center"/>
    </xf>
    <xf numFmtId="0" fontId="3" fillId="7" borderId="0" xfId="0" applyFont="1" applyFill="1" applyAlignment="1">
      <alignment horizontal="left" vertical="center"/>
    </xf>
    <xf numFmtId="0" fontId="0" fillId="0" borderId="0" xfId="0" applyAlignment="1">
      <alignment horizontal="left" vertical="center"/>
    </xf>
    <xf numFmtId="0" fontId="258" fillId="7" borderId="1" xfId="0" applyFont="1" applyFill="1" applyBorder="1" applyAlignment="1">
      <alignment horizontal="left" vertical="center"/>
    </xf>
    <xf numFmtId="196" fontId="56" fillId="7" borderId="1" xfId="0" applyNumberFormat="1" applyFont="1" applyFill="1" applyBorder="1" applyAlignment="1" applyProtection="1">
      <alignment horizontal="left" vertical="center"/>
      <protection locked="0"/>
    </xf>
    <xf numFmtId="196" fontId="3" fillId="7" borderId="1" xfId="0" applyNumberFormat="1" applyFont="1" applyFill="1" applyBorder="1" applyAlignment="1" applyProtection="1">
      <alignment horizontal="left" vertical="center"/>
      <protection locked="0"/>
    </xf>
    <xf numFmtId="198" fontId="260" fillId="0" borderId="1" xfId="0" applyNumberFormat="1" applyFont="1" applyBorder="1" applyAlignment="1">
      <alignment horizontal="left" vertical="center"/>
    </xf>
    <xf numFmtId="0" fontId="256" fillId="0" borderId="1" xfId="0" applyFont="1" applyBorder="1" applyAlignment="1">
      <alignment horizontal="left" vertical="center"/>
    </xf>
    <xf numFmtId="0" fontId="258" fillId="0" borderId="1" xfId="0" applyFont="1" applyFill="1" applyBorder="1" applyAlignment="1">
      <alignment horizontal="left" vertical="center"/>
    </xf>
    <xf numFmtId="0" fontId="0" fillId="0" borderId="1" xfId="0" applyFill="1" applyBorder="1" applyAlignment="1">
      <alignment horizontal="left" vertical="center"/>
    </xf>
    <xf numFmtId="43" fontId="19" fillId="7" borderId="1" xfId="17" applyFont="1" applyFill="1" applyBorder="1" applyAlignment="1">
      <alignment horizontal="left" vertical="center"/>
    </xf>
    <xf numFmtId="0" fontId="261" fillId="7" borderId="1" xfId="0" applyFont="1" applyFill="1" applyBorder="1" applyAlignment="1">
      <alignment horizontal="left" vertical="center"/>
    </xf>
    <xf numFmtId="0" fontId="261" fillId="0" borderId="1" xfId="0" applyFont="1" applyBorder="1" applyAlignment="1">
      <alignment horizontal="left" vertical="center"/>
    </xf>
    <xf numFmtId="0" fontId="3" fillId="7" borderId="1" xfId="20" applyFont="1" applyFill="1" applyBorder="1" applyAlignment="1">
      <alignment horizontal="left" vertical="center"/>
    </xf>
    <xf numFmtId="0" fontId="263" fillId="0" borderId="1" xfId="0" applyFont="1" applyFill="1" applyBorder="1" applyAlignment="1">
      <alignment horizontal="left" vertical="center"/>
    </xf>
    <xf numFmtId="43" fontId="19" fillId="0" borderId="1" xfId="17" applyFont="1" applyFill="1" applyBorder="1" applyAlignment="1">
      <alignment horizontal="left" vertical="center"/>
    </xf>
    <xf numFmtId="0" fontId="256" fillId="0" borderId="1" xfId="0" applyFont="1" applyFill="1" applyBorder="1" applyAlignment="1">
      <alignment horizontal="left" vertical="center"/>
    </xf>
    <xf numFmtId="0" fontId="263" fillId="7" borderId="0" xfId="0" applyFont="1" applyFill="1" applyBorder="1" applyAlignment="1">
      <alignment horizontal="left" vertical="center"/>
    </xf>
    <xf numFmtId="43" fontId="138" fillId="7" borderId="0" xfId="17" applyFont="1" applyFill="1" applyBorder="1" applyAlignment="1">
      <alignment horizontal="left" vertical="center"/>
    </xf>
    <xf numFmtId="0" fontId="256" fillId="7" borderId="0" xfId="0" applyFont="1" applyFill="1" applyBorder="1" applyAlignment="1">
      <alignment horizontal="left" vertical="center"/>
    </xf>
    <xf numFmtId="199" fontId="0" fillId="0" borderId="0" xfId="0" applyNumberFormat="1" applyAlignment="1">
      <alignment horizontal="left" vertical="center"/>
    </xf>
    <xf numFmtId="0" fontId="255" fillId="0" borderId="1" xfId="0" applyFont="1" applyFill="1" applyBorder="1" applyAlignment="1">
      <alignment horizontal="left" vertical="center" wrapText="1"/>
    </xf>
    <xf numFmtId="197" fontId="255" fillId="0" borderId="1" xfId="18" applyNumberFormat="1" applyFont="1" applyFill="1" applyBorder="1" applyAlignment="1">
      <alignment horizontal="left" vertical="center" wrapText="1"/>
    </xf>
    <xf numFmtId="0" fontId="119" fillId="0" borderId="1" xfId="0" applyFont="1" applyBorder="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0" fontId="113" fillId="0" borderId="0" xfId="0" applyFont="1" applyFill="1" applyAlignment="1">
      <alignment horizontal="left" vertical="center"/>
    </xf>
    <xf numFmtId="0" fontId="105" fillId="0" borderId="1" xfId="0" applyFont="1" applyBorder="1" applyAlignment="1">
      <alignment horizontal="left" vertical="center" wrapText="1"/>
    </xf>
    <xf numFmtId="0" fontId="265" fillId="0" borderId="1" xfId="0" applyFont="1" applyBorder="1" applyAlignment="1">
      <alignment horizontal="left" vertical="center" wrapText="1"/>
    </xf>
    <xf numFmtId="14" fontId="113" fillId="0" borderId="1" xfId="0" applyNumberFormat="1" applyFont="1" applyBorder="1" applyAlignment="1">
      <alignment horizontal="left" vertical="center"/>
    </xf>
    <xf numFmtId="0" fontId="264"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wrapText="1"/>
    </xf>
    <xf numFmtId="0" fontId="105" fillId="17" borderId="1" xfId="0" applyFont="1" applyFill="1" applyBorder="1" applyAlignment="1">
      <alignment horizontal="left" vertical="center" wrapText="1"/>
    </xf>
    <xf numFmtId="0" fontId="113" fillId="17" borderId="1" xfId="0" applyFont="1" applyFill="1" applyBorder="1" applyAlignment="1">
      <alignment horizontal="left" vertical="center"/>
    </xf>
    <xf numFmtId="0" fontId="265" fillId="17" borderId="1" xfId="0" applyFont="1" applyFill="1" applyBorder="1" applyAlignment="1">
      <alignment horizontal="left" vertical="center" wrapText="1"/>
    </xf>
    <xf numFmtId="0" fontId="264" fillId="17" borderId="1" xfId="0" applyFont="1" applyFill="1" applyBorder="1" applyAlignment="1">
      <alignment horizontal="left" vertical="center"/>
    </xf>
    <xf numFmtId="14" fontId="113" fillId="17" borderId="1" xfId="0" applyNumberFormat="1" applyFont="1" applyFill="1" applyBorder="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99" fontId="47" fillId="0" borderId="37"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58" fontId="50" fillId="0" borderId="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68" fillId="0" borderId="160" xfId="0" applyFont="1" applyBorder="1" applyAlignment="1">
      <alignment horizontal="left" vertical="center" wrapText="1"/>
    </xf>
    <xf numFmtId="0" fontId="268" fillId="0" borderId="158" xfId="0" applyFont="1" applyBorder="1" applyAlignment="1">
      <alignment horizontal="left" vertical="center" wrapText="1"/>
    </xf>
    <xf numFmtId="0" fontId="263" fillId="0" borderId="160" xfId="0" applyFont="1" applyBorder="1" applyAlignment="1">
      <alignment horizontal="left" vertical="center" wrapText="1"/>
    </xf>
    <xf numFmtId="0" fontId="13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65" fillId="17" borderId="1" xfId="0" applyFont="1" applyFill="1" applyBorder="1" applyAlignment="1">
      <alignment horizontal="left" vertical="center" wrapText="1"/>
    </xf>
    <xf numFmtId="0" fontId="265" fillId="17" borderId="5" xfId="0" applyFont="1" applyFill="1" applyBorder="1" applyAlignment="1">
      <alignment horizontal="left" vertical="center" wrapText="1"/>
    </xf>
    <xf numFmtId="0" fontId="265" fillId="17" borderId="54" xfId="0" applyFont="1" applyFill="1" applyBorder="1" applyAlignment="1">
      <alignment horizontal="left" vertical="center" wrapText="1"/>
    </xf>
    <xf numFmtId="0" fontId="265" fillId="17" borderId="3" xfId="0" applyFont="1" applyFill="1" applyBorder="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8" borderId="0" xfId="0" applyFont="1" applyFill="1" applyAlignment="1">
      <alignment horizontal="center" vertical="center"/>
    </xf>
    <xf numFmtId="0" fontId="84" fillId="7" borderId="0" xfId="0" applyFont="1" applyFill="1" applyAlignment="1">
      <alignment horizontal="left" vertical="center"/>
    </xf>
    <xf numFmtId="0" fontId="263" fillId="0" borderId="162" xfId="0" applyFont="1" applyBorder="1" applyAlignment="1">
      <alignment horizontal="center" vertical="center" wrapText="1"/>
    </xf>
    <xf numFmtId="0" fontId="263" fillId="0" borderId="164" xfId="0" applyFont="1" applyBorder="1" applyAlignment="1">
      <alignment horizontal="center" vertical="center" wrapText="1"/>
    </xf>
    <xf numFmtId="0" fontId="268" fillId="0" borderId="162" xfId="0" applyFont="1" applyBorder="1" applyAlignment="1">
      <alignment horizontal="left" vertical="center" wrapText="1"/>
    </xf>
    <xf numFmtId="0" fontId="268" fillId="0" borderId="163" xfId="0" applyFont="1" applyBorder="1" applyAlignment="1">
      <alignment horizontal="left" vertical="center" wrapText="1"/>
    </xf>
    <xf numFmtId="0" fontId="268" fillId="0" borderId="164" xfId="0" applyFont="1" applyBorder="1" applyAlignment="1">
      <alignment horizontal="left" vertical="center" wrapText="1"/>
    </xf>
    <xf numFmtId="0" fontId="271" fillId="0" borderId="162" xfId="0" applyFont="1" applyBorder="1" applyAlignment="1">
      <alignment horizontal="left" vertical="center" wrapText="1"/>
    </xf>
    <xf numFmtId="0" fontId="271" fillId="0" borderId="163" xfId="0" applyFont="1" applyBorder="1" applyAlignment="1">
      <alignment horizontal="left" vertical="center" wrapText="1"/>
    </xf>
    <xf numFmtId="0" fontId="271" fillId="0" borderId="164" xfId="0" applyFont="1" applyBorder="1" applyAlignment="1">
      <alignment horizontal="left" vertical="center" wrapText="1"/>
    </xf>
    <xf numFmtId="0" fontId="269" fillId="0" borderId="162" xfId="0" applyFont="1" applyBorder="1" applyAlignment="1">
      <alignment horizontal="left" vertical="center" wrapText="1"/>
    </xf>
    <xf numFmtId="0" fontId="269" fillId="0" borderId="163" xfId="0" applyFont="1" applyBorder="1" applyAlignment="1">
      <alignment horizontal="left" vertical="center" wrapText="1"/>
    </xf>
    <xf numFmtId="0" fontId="269" fillId="0" borderId="164" xfId="0" applyFont="1" applyBorder="1" applyAlignment="1">
      <alignment horizontal="left" vertical="center" wrapText="1"/>
    </xf>
    <xf numFmtId="0" fontId="263" fillId="0" borderId="162" xfId="0" applyFont="1" applyBorder="1" applyAlignment="1">
      <alignment horizontal="left" vertical="center" wrapText="1"/>
    </xf>
    <xf numFmtId="0" fontId="263" fillId="0" borderId="163" xfId="0" applyFont="1" applyBorder="1" applyAlignment="1">
      <alignment horizontal="left" vertical="center" wrapText="1"/>
    </xf>
    <xf numFmtId="0" fontId="263" fillId="0" borderId="164" xfId="0" applyFont="1" applyBorder="1" applyAlignment="1">
      <alignment horizontal="left" vertical="center" wrapText="1"/>
    </xf>
    <xf numFmtId="0" fontId="268" fillId="0" borderId="165" xfId="0" applyFont="1" applyBorder="1" applyAlignment="1">
      <alignment horizontal="left" vertical="center" wrapText="1"/>
    </xf>
    <xf numFmtId="0" fontId="268" fillId="0" borderId="166" xfId="0" applyFont="1" applyBorder="1" applyAlignment="1">
      <alignment horizontal="left" vertical="center" wrapText="1"/>
    </xf>
    <xf numFmtId="0" fontId="268" fillId="0" borderId="167" xfId="0" applyFont="1" applyBorder="1" applyAlignment="1">
      <alignment horizontal="left" vertical="center" wrapText="1"/>
    </xf>
    <xf numFmtId="182" fontId="263" fillId="0" borderId="165" xfId="0" applyNumberFormat="1" applyFont="1" applyBorder="1" applyAlignment="1">
      <alignment horizontal="left" vertical="center" wrapText="1"/>
    </xf>
    <xf numFmtId="0" fontId="263" fillId="0" borderId="166" xfId="0" applyFont="1" applyBorder="1" applyAlignment="1">
      <alignment horizontal="left" vertical="center" wrapText="1"/>
    </xf>
    <xf numFmtId="0" fontId="263" fillId="0" borderId="167" xfId="0" applyFont="1" applyBorder="1" applyAlignment="1">
      <alignment horizontal="left" vertical="center" wrapText="1"/>
    </xf>
    <xf numFmtId="182" fontId="263" fillId="0" borderId="162" xfId="0" applyNumberFormat="1" applyFont="1" applyBorder="1" applyAlignment="1">
      <alignment horizontal="left" vertical="center" wrapText="1"/>
    </xf>
    <xf numFmtId="182" fontId="263" fillId="0" borderId="164" xfId="0" applyNumberFormat="1" applyFont="1" applyBorder="1" applyAlignment="1">
      <alignment horizontal="left" vertical="center" wrapText="1"/>
    </xf>
    <xf numFmtId="0" fontId="270" fillId="0" borderId="162" xfId="0" applyFont="1" applyBorder="1" applyAlignment="1">
      <alignment horizontal="left" vertical="center" wrapText="1"/>
    </xf>
    <xf numFmtId="0" fontId="270" fillId="0" borderId="163" xfId="0" applyFont="1" applyBorder="1" applyAlignment="1">
      <alignment horizontal="left" vertical="center" wrapText="1"/>
    </xf>
    <xf numFmtId="0" fontId="270" fillId="0" borderId="164" xfId="0" applyFont="1" applyBorder="1" applyAlignment="1">
      <alignment horizontal="left" vertical="center" wrapText="1"/>
    </xf>
    <xf numFmtId="0" fontId="268" fillId="0" borderId="161" xfId="0" applyFont="1" applyBorder="1" applyAlignment="1">
      <alignment horizontal="left" vertical="center" wrapText="1"/>
    </xf>
    <xf numFmtId="0" fontId="268" fillId="0" borderId="159" xfId="0" applyFont="1" applyBorder="1" applyAlignment="1">
      <alignment horizontal="left" vertical="center" wrapText="1"/>
    </xf>
    <xf numFmtId="0" fontId="268" fillId="0" borderId="157" xfId="0" applyFont="1" applyBorder="1" applyAlignment="1">
      <alignment horizontal="left" vertical="center" wrapText="1"/>
    </xf>
    <xf numFmtId="0" fontId="268" fillId="0" borderId="158" xfId="0" applyFont="1" applyBorder="1" applyAlignment="1">
      <alignment horizontal="left" vertical="center" wrapText="1"/>
    </xf>
  </cellXfs>
  <cellStyles count="23">
    <cellStyle name="Normal" xfId="22"/>
    <cellStyle name="百分比 2" xfId="14"/>
    <cellStyle name="常规" xfId="0" builtinId="0"/>
    <cellStyle name="常规 16" xfId="10"/>
    <cellStyle name="常规 2" xfId="1"/>
    <cellStyle name="常规 2 11" xfId="19"/>
    <cellStyle name="常规 2 17"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 name="千位分隔" xfId="17" builtinId="3"/>
    <cellStyle name="千位分隔 2" xfId="21"/>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19850</xdr:rowOff>
    </xdr:from>
    <xdr:to>
      <xdr:col>7</xdr:col>
      <xdr:colOff>514350</xdr:colOff>
      <xdr:row>13</xdr:row>
      <xdr:rowOff>0</xdr:rowOff>
    </xdr:to>
    <xdr:pic>
      <xdr:nvPicPr>
        <xdr:cNvPr id="2" name="图片 1" descr="C:\Documents and Settings\Administrator\Application Data\Tencent\Users\2416965547\QQ\WinTemp\RichOle\V91HXIJUGUJTJ(F]G448N6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850"/>
          <a:ext cx="5172075" cy="220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9525</xdr:rowOff>
    </xdr:from>
    <xdr:to>
      <xdr:col>7</xdr:col>
      <xdr:colOff>676275</xdr:colOff>
      <xdr:row>38</xdr:row>
      <xdr:rowOff>95250</xdr:rowOff>
    </xdr:to>
    <xdr:pic>
      <xdr:nvPicPr>
        <xdr:cNvPr id="3" name="图片 2" descr="C:\Documents and Settings\Administrator\Application Data\Tencent\Users\2416965547\QQ\WinTemp\RichOle\}OH9A%3JP`]]O}}]V5T@%5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09825"/>
          <a:ext cx="53435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0</xdr:row>
      <xdr:rowOff>95250</xdr:rowOff>
    </xdr:from>
    <xdr:to>
      <xdr:col>15</xdr:col>
      <xdr:colOff>657225</xdr:colOff>
      <xdr:row>23</xdr:row>
      <xdr:rowOff>133350</xdr:rowOff>
    </xdr:to>
    <xdr:pic>
      <xdr:nvPicPr>
        <xdr:cNvPr id="4" name="图片 3" descr="C:\Documents and Settings\Administrator\Application Data\Tencent\Users\2416965547\QQ\WinTemp\RichOle\GIYK2VBRTY7AW0M0Z$`NG5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8800" y="95250"/>
          <a:ext cx="530542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23</xdr:row>
      <xdr:rowOff>57150</xdr:rowOff>
    </xdr:from>
    <xdr:to>
      <xdr:col>15</xdr:col>
      <xdr:colOff>666750</xdr:colOff>
      <xdr:row>48</xdr:row>
      <xdr:rowOff>47625</xdr:rowOff>
    </xdr:to>
    <xdr:pic>
      <xdr:nvPicPr>
        <xdr:cNvPr id="5" name="图片 4" descr="C:\Documents and Settings\Administrator\Application Data\Tencent\Users\2416965547\QQ\WinTemp\RichOle\9O$$SHTPD$X@~W[YXYQ95GH.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4000500"/>
          <a:ext cx="541972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39</xdr:row>
      <xdr:rowOff>57150</xdr:rowOff>
    </xdr:from>
    <xdr:to>
      <xdr:col>7</xdr:col>
      <xdr:colOff>619125</xdr:colOff>
      <xdr:row>61</xdr:row>
      <xdr:rowOff>161925</xdr:rowOff>
    </xdr:to>
    <xdr:pic>
      <xdr:nvPicPr>
        <xdr:cNvPr id="6" name="图片 5" descr="C:\Documents and Settings\Administrator\Application Data\Tencent\Users\2416965547\QQ\WinTemp\RichOle\S6`4VB_GE@WV0Q4QAQBI}~H.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6743700"/>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63</xdr:row>
      <xdr:rowOff>142875</xdr:rowOff>
    </xdr:from>
    <xdr:to>
      <xdr:col>8</xdr:col>
      <xdr:colOff>333375</xdr:colOff>
      <xdr:row>87</xdr:row>
      <xdr:rowOff>123825</xdr:rowOff>
    </xdr:to>
    <xdr:pic>
      <xdr:nvPicPr>
        <xdr:cNvPr id="7" name="图片 6" descr="C:\Documents and Settings\Administrator\Application Data\Tencent\Users\2416965547\QQ\WinTemp\RichOle\C~E})V86G4JEOKNTZX`N$V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0944225"/>
          <a:ext cx="51911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50</xdr:row>
      <xdr:rowOff>104775</xdr:rowOff>
    </xdr:from>
    <xdr:to>
      <xdr:col>16</xdr:col>
      <xdr:colOff>76200</xdr:colOff>
      <xdr:row>73</xdr:row>
      <xdr:rowOff>123825</xdr:rowOff>
    </xdr:to>
    <xdr:pic>
      <xdr:nvPicPr>
        <xdr:cNvPr id="8" name="图片 7" descr="C:\Documents and Settings\Administrator\Application Data\Tencent\Users\2416965547\QQ\WinTemp\RichOle\LO@FMIL_]DMK7ZU265F4_8T.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19750" y="8677275"/>
          <a:ext cx="54292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323850</xdr:colOff>
      <xdr:row>74</xdr:row>
      <xdr:rowOff>38100</xdr:rowOff>
    </xdr:from>
    <xdr:to>
      <xdr:col>16</xdr:col>
      <xdr:colOff>104775</xdr:colOff>
      <xdr:row>98</xdr:row>
      <xdr:rowOff>123825</xdr:rowOff>
    </xdr:to>
    <xdr:pic>
      <xdr:nvPicPr>
        <xdr:cNvPr id="9" name="图片 8" descr="C:\Documents and Settings\Administrator\Application Data\Tencent\Users\2416965547\QQ\WinTemp\RichOle\HJ`%CJ9%ADLFLT]AA93E}FQ.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0250" y="12725400"/>
          <a:ext cx="52673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8</xdr:col>
      <xdr:colOff>276225</xdr:colOff>
      <xdr:row>24</xdr:row>
      <xdr:rowOff>142875</xdr:rowOff>
    </xdr:to>
    <xdr:pic>
      <xdr:nvPicPr>
        <xdr:cNvPr id="2" name="图片 1" descr="C:\Documents and Settings\Administrator\Application Data\Tencent\Users\2416965547\QQ\WinTemp\RichOle\M3U3]{{F~)$3%6}RZ$2ZUJ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675"/>
          <a:ext cx="56483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19050</xdr:rowOff>
    </xdr:from>
    <xdr:to>
      <xdr:col>18</xdr:col>
      <xdr:colOff>647700</xdr:colOff>
      <xdr:row>32</xdr:row>
      <xdr:rowOff>76200</xdr:rowOff>
    </xdr:to>
    <xdr:pic>
      <xdr:nvPicPr>
        <xdr:cNvPr id="3" name="图片 2" descr="C:\Documents and Settings\Administrator\Application Data\Tencent\Users\2416965547\QQ\WinTemp\RichOle\VL9H6P[W6198`)]O`G4A$C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90500"/>
          <a:ext cx="71628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9</xdr:col>
      <xdr:colOff>504825</xdr:colOff>
      <xdr:row>22</xdr:row>
      <xdr:rowOff>128437</xdr:rowOff>
    </xdr:to>
    <xdr:pic>
      <xdr:nvPicPr>
        <xdr:cNvPr id="2" name="图片 1" descr="C:\Documents and Settings\Administrator\Application Data\Tencent\Users\2416965547\QQ\WinTemp\RichOle\]Y(_2BQ__V(U0M1T~RYMXA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6410325" cy="390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22</xdr:row>
      <xdr:rowOff>114300</xdr:rowOff>
    </xdr:from>
    <xdr:to>
      <xdr:col>12</xdr:col>
      <xdr:colOff>501354</xdr:colOff>
      <xdr:row>51</xdr:row>
      <xdr:rowOff>57150</xdr:rowOff>
    </xdr:to>
    <xdr:pic>
      <xdr:nvPicPr>
        <xdr:cNvPr id="3" name="图片 2" descr="C:\Documents and Settings\Administrator\Application Data\Tencent\Users\2416965547\QQ\WinTemp\RichOle\TJ3~_FPCYU(WZ7{NC2O_@1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886200"/>
          <a:ext cx="8511879"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84015</xdr:rowOff>
    </xdr:from>
    <xdr:to>
      <xdr:col>12</xdr:col>
      <xdr:colOff>542925</xdr:colOff>
      <xdr:row>79</xdr:row>
      <xdr:rowOff>104774</xdr:rowOff>
    </xdr:to>
    <xdr:pic>
      <xdr:nvPicPr>
        <xdr:cNvPr id="4" name="图片 3" descr="C:\Documents and Settings\Administrator\Application Data\Tencent\Users\2416965547\QQ\WinTemp\RichOle\UYC]AU7LBUC6~XY[AH401A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827965"/>
          <a:ext cx="8610600" cy="482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80</xdr:row>
      <xdr:rowOff>156507</xdr:rowOff>
    </xdr:from>
    <xdr:to>
      <xdr:col>12</xdr:col>
      <xdr:colOff>542925</xdr:colOff>
      <xdr:row>110</xdr:row>
      <xdr:rowOff>85725</xdr:rowOff>
    </xdr:to>
    <xdr:pic>
      <xdr:nvPicPr>
        <xdr:cNvPr id="5" name="图片 4" descr="C:\Documents and Settings\Administrator\Application Data\Tencent\Users\2416965547\QQ\WinTemp\RichOle\H[{$L(M}8R%6RG~5GA9DN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3872507"/>
          <a:ext cx="8658225" cy="507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676275</xdr:colOff>
      <xdr:row>79</xdr:row>
      <xdr:rowOff>161925</xdr:rowOff>
    </xdr:from>
    <xdr:to>
      <xdr:col>21</xdr:col>
      <xdr:colOff>513599</xdr:colOff>
      <xdr:row>111</xdr:row>
      <xdr:rowOff>142192</xdr:rowOff>
    </xdr:to>
    <xdr:pic>
      <xdr:nvPicPr>
        <xdr:cNvPr id="6" name="图片 5"/>
        <xdr:cNvPicPr>
          <a:picLocks noChangeAspect="1"/>
        </xdr:cNvPicPr>
      </xdr:nvPicPr>
      <xdr:blipFill>
        <a:blip xmlns:r="http://schemas.openxmlformats.org/officeDocument/2006/relationships" r:embed="rId5"/>
        <a:stretch>
          <a:fillRect/>
        </a:stretch>
      </xdr:blipFill>
      <xdr:spPr>
        <a:xfrm>
          <a:off x="8905875" y="13706475"/>
          <a:ext cx="6009524" cy="5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北京市房地产抵押价值预评估</v>
      </c>
    </row>
    <row r="3" spans="1:2" s="1588" customFormat="1">
      <c r="A3" s="1586" t="s">
        <v>1213</v>
      </c>
      <c r="B3" s="1587">
        <f>'预评函-封皮'!B40</f>
        <v>0</v>
      </c>
    </row>
    <row r="4" spans="1:2" s="1588" customFormat="1">
      <c r="A4" s="1586" t="s">
        <v>1214</v>
      </c>
      <c r="B4" s="1587" t="str">
        <f ca="1">'预评函-封皮'!B46</f>
        <v>郑燚（注册号：1120070131)、崔锴（注册号：1120100036)</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受贵公司委托，我公司对北京市房地产抵押价值进行了预评估。</v>
      </c>
    </row>
    <row r="7" spans="1:2" s="1588" customFormat="1">
      <c r="A7" s="1586" t="s">
        <v>1256</v>
      </c>
      <c r="B7" s="1587" t="str">
        <f>'预评函-1'!A7</f>
        <v>估价对象为北京市房地产，为所有。根据《国有土地使用证》[]，估价对象（分摊）出让国有建设用地使用权面积为2179.29平方米，建筑面积为21282.42平方米。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房地产,属开发建设的综合项目（商业、办公），该项目尚在开发建设中。根据《国有土地使用证》[]，估价对象（分摊）出让国有建设用地使用权面积为2179.29平方米，规划建筑面积为21282.42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2019年11月26日（评估专业人员实地查勘之日）</v>
      </c>
    </row>
    <row r="13" spans="1:2" s="1588" customFormat="1">
      <c r="A13" s="1586" t="s">
        <v>1219</v>
      </c>
      <c r="B13" s="1587" t="str">
        <f>'预评函-1'!A18</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
      </c>
    </row>
    <row r="18" spans="1:2" s="1582" customFormat="1" ht="15" thickBot="1">
      <c r="A18" s="1589" t="s">
        <v>1224</v>
      </c>
      <c r="B18" s="1590" t="str">
        <f>'预评函-1'!A24</f>
        <v>本次评估采用的主估价方法为比较法和收益法。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6633</v>
      </c>
    </row>
    <row r="21" spans="1:2" s="1588" customFormat="1">
      <c r="A21" s="1586" t="s">
        <v>1227</v>
      </c>
      <c r="B21" s="1587">
        <f ca="1">'预评函-2'!D7</f>
        <v>3117</v>
      </c>
    </row>
    <row r="22" spans="1:2" s="1588" customFormat="1">
      <c r="A22" s="1586" t="s">
        <v>1228</v>
      </c>
      <c r="B22" s="1587" t="str">
        <f ca="1">'预评函-2'!D6</f>
        <v>陆仟陆佰叁拾叁万元整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v>
      </c>
    </row>
    <row r="30" spans="1:2" s="1588" customFormat="1">
      <c r="A30" s="1586" t="s">
        <v>1284</v>
      </c>
      <c r="B30" s="1587" t="str">
        <f>'预评函-2'!D13</f>
        <v>——</v>
      </c>
    </row>
    <row r="31" spans="1:2" s="1588" customFormat="1">
      <c r="A31" s="1586" t="s">
        <v>1266</v>
      </c>
      <c r="B31" s="1587" t="e">
        <f>'预评函-2'!D15</f>
        <v>#VALUE!</v>
      </c>
    </row>
    <row r="32" spans="1:2" s="1588" customFormat="1">
      <c r="A32" s="1586" t="s">
        <v>1233</v>
      </c>
      <c r="B32" s="1587" t="e">
        <f>'预评函-2'!D14</f>
        <v>#VALUE!</v>
      </c>
    </row>
    <row r="33" spans="1:2" s="1588" customFormat="1">
      <c r="A33" s="1586" t="s">
        <v>1268</v>
      </c>
      <c r="B33" s="1587" t="str">
        <f>'预评函-2'!B16</f>
        <v>3.抵押担保权已注销时的房地产抵押价值</v>
      </c>
    </row>
    <row r="34" spans="1:2" s="1588" customFormat="1">
      <c r="A34" s="1586" t="s">
        <v>1286</v>
      </c>
      <c r="B34" s="1587">
        <f ca="1">'预评函-2'!D16</f>
        <v>6633</v>
      </c>
    </row>
    <row r="35" spans="1:2" s="1588" customFormat="1">
      <c r="A35" s="1586" t="s">
        <v>1267</v>
      </c>
      <c r="B35" s="1587">
        <f ca="1">'预评函-2'!D18</f>
        <v>3117</v>
      </c>
    </row>
    <row r="36" spans="1:2" s="1588" customFormat="1">
      <c r="A36" s="1586" t="s">
        <v>1234</v>
      </c>
      <c r="B36" s="1587" t="str">
        <f ca="1">'预评函-2'!D17</f>
        <v>陆仟陆佰叁拾叁万元整</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北京市房地产</v>
      </c>
    </row>
    <row r="42" spans="1:2" s="1588" customFormat="1">
      <c r="A42" s="1586" t="s">
        <v>1280</v>
      </c>
      <c r="B42" s="1587" t="str">
        <f>'预评函-3'!B2</f>
        <v>建筑面积</v>
      </c>
    </row>
    <row r="43" spans="1:2" s="1588" customFormat="1">
      <c r="A43" s="1586" t="s">
        <v>1281</v>
      </c>
      <c r="B43" s="1587">
        <f>'预评函-3'!B4</f>
        <v>21282.42</v>
      </c>
    </row>
    <row r="44" spans="1:2" s="1588" customFormat="1">
      <c r="A44" s="1586" t="s">
        <v>1265</v>
      </c>
      <c r="B44" s="1587" t="str">
        <f>'预评函-3'!C2</f>
        <v>(分摊)土地面积</v>
      </c>
    </row>
    <row r="45" spans="1:2" s="1588" customFormat="1">
      <c r="A45" s="1586" t="s">
        <v>1237</v>
      </c>
      <c r="B45" s="1587">
        <f>'预评函-3'!C4</f>
        <v>2179.29</v>
      </c>
    </row>
    <row r="46" spans="1:2" s="1588" customFormat="1">
      <c r="A46" s="1586" t="s">
        <v>1263</v>
      </c>
      <c r="B46" s="1587" t="str">
        <f>'预评函-3'!D2</f>
        <v>出让国有建设用地使用权价值</v>
      </c>
    </row>
    <row r="47" spans="1:2" s="1588" customFormat="1">
      <c r="A47" s="1586" t="s">
        <v>1238</v>
      </c>
      <c r="B47" s="1587" t="e">
        <f ca="1">'预评函-3'!D4</f>
        <v>#REF!</v>
      </c>
    </row>
    <row r="48" spans="1:2" s="1588" customFormat="1">
      <c r="A48" s="1586" t="s">
        <v>1239</v>
      </c>
      <c r="B48" s="1587" t="e">
        <f ca="1">'预评函-3'!E4</f>
        <v>#REF!</v>
      </c>
    </row>
    <row r="49" spans="1:2" s="1588" customFormat="1">
      <c r="A49" s="1586" t="s">
        <v>1240</v>
      </c>
      <c r="B49" s="1587" t="e">
        <f ca="1">'预评函-3'!D5</f>
        <v>#REF!</v>
      </c>
    </row>
    <row r="50" spans="1:2" s="1588" customFormat="1">
      <c r="A50" s="1586" t="s">
        <v>1264</v>
      </c>
      <c r="B50" s="1587" t="str">
        <f>'预评函-3'!F2</f>
        <v>在建建筑物价值</v>
      </c>
    </row>
    <row r="51" spans="1:2" s="1588" customFormat="1">
      <c r="A51" s="1586" t="s">
        <v>1241</v>
      </c>
      <c r="B51" s="1587" t="e">
        <f ca="1">'预评函-3'!F4</f>
        <v>#REF!</v>
      </c>
    </row>
    <row r="52" spans="1:2" s="1588" customFormat="1">
      <c r="A52" s="1586" t="s">
        <v>1242</v>
      </c>
      <c r="B52" s="1587" t="e">
        <f ca="1">'预评函-3'!G4</f>
        <v>#REF!</v>
      </c>
    </row>
    <row r="53" spans="1:2" s="1588" customFormat="1">
      <c r="A53" s="1586" t="s">
        <v>1270</v>
      </c>
      <c r="B53" s="1587" t="e">
        <f ca="1">'预评函-3'!F5</f>
        <v>#REF!</v>
      </c>
    </row>
    <row r="54" spans="1:2" s="1588" customFormat="1">
      <c r="A54" s="1586" t="s">
        <v>1288</v>
      </c>
      <c r="B54" s="1587" t="str">
        <f>'预评函-3'!A8</f>
        <v/>
      </c>
    </row>
    <row r="55" spans="1:2" s="1588" customFormat="1">
      <c r="A55" s="1586" t="s">
        <v>1271</v>
      </c>
      <c r="B55" s="1587" t="str">
        <f>'预评函-3'!A10</f>
        <v>抵押担保权已注销时的房地产抵押价值</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郑燚</v>
      </c>
    </row>
    <row r="71" spans="1:2">
      <c r="A71" s="1586" t="s">
        <v>1253</v>
      </c>
      <c r="B71" s="1587">
        <f ca="1">'预评函-4'!B4</f>
        <v>1120070131</v>
      </c>
    </row>
    <row r="72" spans="1:2">
      <c r="A72" s="1586" t="s">
        <v>1254</v>
      </c>
      <c r="B72" s="1595" t="str">
        <f>'预评函-4'!A5</f>
        <v>崔锴</v>
      </c>
    </row>
    <row r="73" spans="1:2" s="1582" customFormat="1" ht="15" thickBot="1">
      <c r="A73" s="1589" t="s">
        <v>1255</v>
      </c>
      <c r="B73" s="1590">
        <f ca="1">'预评函-4'!B5</f>
        <v>1120100036</v>
      </c>
    </row>
    <row r="74" spans="1:2" ht="15"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3014</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t="s">
        <v>3009</v>
      </c>
      <c r="B3" s="2011" t="s">
        <v>3013</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3040</v>
      </c>
      <c r="B4" s="2011" t="s">
        <v>3011</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t="s">
        <v>3042</v>
      </c>
      <c r="B5" s="2011" t="s">
        <v>3048</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3017</v>
      </c>
      <c r="B6" s="2008" t="s">
        <v>1731</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t="s">
        <v>3038</v>
      </c>
      <c r="B7" s="2008" t="s">
        <v>1733</v>
      </c>
      <c r="C7" s="2009" t="s">
        <v>31</v>
      </c>
      <c r="F7" s="2010" t="s">
        <v>1726</v>
      </c>
      <c r="H7" s="2010" t="s">
        <v>1727</v>
      </c>
      <c r="I7" s="2010" t="s">
        <v>1728</v>
      </c>
    </row>
    <row r="8" spans="1:23">
      <c r="A8" s="2008" t="s">
        <v>3405</v>
      </c>
      <c r="B8" s="2011" t="s">
        <v>3046</v>
      </c>
      <c r="C8" s="2009" t="s">
        <v>763</v>
      </c>
      <c r="F8" s="2010" t="s">
        <v>1729</v>
      </c>
      <c r="H8" s="2010"/>
      <c r="I8" s="2010" t="s">
        <v>1730</v>
      </c>
    </row>
    <row r="9" spans="1:23">
      <c r="A9" s="2008"/>
      <c r="B9" s="2008" t="s">
        <v>3421</v>
      </c>
      <c r="C9" s="2009" t="s">
        <v>764</v>
      </c>
      <c r="F9" s="2010" t="s">
        <v>1732</v>
      </c>
      <c r="H9" s="2010"/>
    </row>
    <row r="10" spans="1:23">
      <c r="A10" s="2008"/>
      <c r="B10" s="2008" t="s">
        <v>3422</v>
      </c>
      <c r="C10" s="2009" t="s">
        <v>765</v>
      </c>
      <c r="F10" s="2010" t="s">
        <v>16</v>
      </c>
    </row>
    <row r="11" spans="1:23">
      <c r="A11" s="2008"/>
      <c r="B11" s="2008" t="s">
        <v>3423</v>
      </c>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123"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2016" t="s">
        <v>860</v>
      </c>
      <c r="C54" s="2013" t="s">
        <v>1273</v>
      </c>
    </row>
    <row r="55" spans="1:4">
      <c r="A55" s="3123"/>
      <c r="B55" s="2016" t="s">
        <v>861</v>
      </c>
      <c r="C55" s="2013" t="s">
        <v>1274</v>
      </c>
    </row>
    <row r="56" spans="1:4">
      <c r="A56" s="3123"/>
      <c r="B56" s="2016" t="s">
        <v>862</v>
      </c>
      <c r="C56" s="2013" t="s">
        <v>1278</v>
      </c>
    </row>
    <row r="57" spans="1:4">
      <c r="A57" s="3123"/>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31" sqref="I31"/>
    </sheetView>
  </sheetViews>
  <sheetFormatPr defaultColWidth="10" defaultRowHeight="18" customHeight="1"/>
  <cols>
    <col min="1" max="1" width="14.875" style="2026" customWidth="1"/>
    <col min="2" max="2" width="12.125" style="2026" customWidth="1"/>
    <col min="3" max="3" width="11.5" style="2026" customWidth="1"/>
    <col min="4" max="4" width="12.5" style="2026" customWidth="1"/>
    <col min="5"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1734</v>
      </c>
      <c r="B1" s="3124" t="str">
        <f>IF(B10="北京市","北京市",C10)&amp;F10&amp;IF('结果表-办公'!G1="在建","出让国有建设用地使用权及在建建筑物",IF('结果表-办公'!G1="土地","出让国有建设用地使用权",))&amp;B9&amp;"预评估"</f>
        <v>北京市房地产抵押价值预评估</v>
      </c>
      <c r="C1" s="3125"/>
      <c r="D1" s="3125"/>
      <c r="E1" s="3125"/>
      <c r="F1" s="3125"/>
      <c r="G1" s="3125"/>
      <c r="H1" s="3125"/>
      <c r="I1" s="3126"/>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0" t="s">
        <v>1735</v>
      </c>
      <c r="B2" s="1035"/>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北京市房地产</v>
      </c>
    </row>
    <row r="3" spans="1:19" ht="18" customHeight="1">
      <c r="A3" s="2029" t="s">
        <v>1736</v>
      </c>
      <c r="B3" s="2030">
        <v>43795</v>
      </c>
      <c r="C3" s="2031" t="s">
        <v>1737</v>
      </c>
      <c r="D3" s="2030">
        <f>B3</f>
        <v>43795</v>
      </c>
      <c r="E3" s="2020"/>
      <c r="F3" s="2020"/>
      <c r="G3" s="2020"/>
      <c r="H3" s="2020"/>
      <c r="I3" s="2020"/>
      <c r="J3" s="2020"/>
      <c r="K3" s="2021"/>
      <c r="L3" s="2022"/>
      <c r="M3" s="2022"/>
      <c r="N3" s="2023"/>
      <c r="O3" s="2024"/>
      <c r="P3" s="2023"/>
      <c r="Q3" s="2023"/>
      <c r="R3" s="2023"/>
      <c r="S3" s="2025"/>
    </row>
    <row r="4" spans="1:19" ht="18" customHeight="1" thickBot="1">
      <c r="A4" s="2032" t="s">
        <v>1738</v>
      </c>
      <c r="B4" s="2033" t="s">
        <v>3018</v>
      </c>
      <c r="C4" s="1033">
        <f ca="1">SUMIF(注册房地产估价师,B4,估价师及机构信息!B3:B24)</f>
        <v>1120070131</v>
      </c>
      <c r="D4" s="2033" t="s">
        <v>3019</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郑燚（注册号：1120070131)、崔锴（注册号：1120100036)</v>
      </c>
      <c r="L4" s="2022"/>
      <c r="M4" s="2022"/>
      <c r="N4" s="2023"/>
      <c r="O4" s="2024"/>
      <c r="P4" s="2023"/>
      <c r="Q4" s="2023"/>
      <c r="R4" s="2023"/>
      <c r="S4" s="2025"/>
    </row>
    <row r="5" spans="1:19" ht="18" customHeight="1" thickTop="1">
      <c r="A5" s="2038" t="s">
        <v>1739</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1740</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1741</v>
      </c>
      <c r="B7" s="2047"/>
      <c r="C7" s="2044"/>
      <c r="D7" s="2045"/>
      <c r="E7" s="2028"/>
      <c r="F7" s="2036"/>
      <c r="G7" s="2036"/>
      <c r="H7" s="2036"/>
      <c r="I7" s="2036"/>
      <c r="J7" s="2036"/>
      <c r="K7" s="2048"/>
      <c r="L7" s="2022"/>
      <c r="M7" s="2022"/>
      <c r="N7" s="2023"/>
      <c r="O7" s="2024"/>
      <c r="P7" s="2023"/>
      <c r="Q7" s="2023"/>
      <c r="R7" s="2023"/>
    </row>
    <row r="8" spans="1:19" ht="18" customHeight="1">
      <c r="A8" s="2042" t="s">
        <v>1742</v>
      </c>
      <c r="B8" s="2049" t="s">
        <v>3020</v>
      </c>
      <c r="C8" s="2050"/>
      <c r="D8" s="3127" t="s">
        <v>1743</v>
      </c>
      <c r="E8" s="2051" t="s">
        <v>3022</v>
      </c>
      <c r="F8" s="2052"/>
      <c r="G8" s="2020"/>
      <c r="H8" s="2020"/>
      <c r="I8" s="2020"/>
      <c r="J8" s="2036"/>
      <c r="K8" s="2037"/>
      <c r="L8" s="2022"/>
      <c r="M8" s="2022"/>
      <c r="N8" s="2023"/>
      <c r="O8" s="2024"/>
      <c r="P8" s="2023"/>
      <c r="Q8" s="2023"/>
      <c r="R8" s="2023"/>
    </row>
    <row r="9" spans="1:19" ht="18" customHeight="1" thickBot="1">
      <c r="A9" s="2034" t="s">
        <v>1744</v>
      </c>
      <c r="B9" s="2053" t="s">
        <v>3021</v>
      </c>
      <c r="C9" s="2054"/>
      <c r="D9" s="3128"/>
      <c r="E9" s="2053" t="s">
        <v>70</v>
      </c>
      <c r="F9" s="2055"/>
      <c r="G9" s="2056"/>
      <c r="H9" s="2056"/>
      <c r="I9" s="2056"/>
      <c r="J9" s="2036"/>
      <c r="K9" s="2048"/>
      <c r="L9" s="2022"/>
      <c r="M9" s="2022"/>
      <c r="N9" s="2023"/>
      <c r="O9" s="2024"/>
      <c r="P9" s="2023"/>
      <c r="Q9" s="2023"/>
      <c r="R9" s="2023"/>
    </row>
    <row r="10" spans="1:19" ht="18" customHeight="1" thickTop="1">
      <c r="A10" s="2057" t="s">
        <v>1745</v>
      </c>
      <c r="B10" s="2058" t="s">
        <v>3023</v>
      </c>
      <c r="C10" s="2059"/>
      <c r="D10" s="2041"/>
      <c r="E10" s="2060" t="s">
        <v>1746</v>
      </c>
      <c r="F10" s="2061"/>
      <c r="G10" s="2062"/>
      <c r="H10" s="2063"/>
      <c r="I10" s="2041"/>
      <c r="J10" s="2036"/>
      <c r="K10" s="2048"/>
      <c r="L10" s="2022"/>
      <c r="M10" s="2022"/>
      <c r="N10" s="2023"/>
      <c r="O10" s="2024"/>
      <c r="P10" s="2023"/>
      <c r="Q10" s="2023"/>
      <c r="R10" s="2023"/>
    </row>
    <row r="11" spans="1:19" ht="18" customHeight="1">
      <c r="A11" s="2064" t="s">
        <v>1747</v>
      </c>
      <c r="B11" s="2065" t="s">
        <v>3024</v>
      </c>
      <c r="C11" s="2066"/>
      <c r="D11" s="2067"/>
      <c r="E11" s="2036"/>
      <c r="F11" s="2036"/>
      <c r="G11" s="2036"/>
      <c r="H11" s="2036"/>
      <c r="I11" s="2036"/>
      <c r="J11" s="2036"/>
      <c r="K11" s="2048"/>
      <c r="L11" s="2022"/>
      <c r="M11" s="2022"/>
      <c r="N11" s="2023"/>
      <c r="O11" s="2024"/>
      <c r="P11" s="2023"/>
      <c r="Q11" s="2023"/>
      <c r="R11" s="2023"/>
    </row>
    <row r="12" spans="1:19" ht="18" customHeight="1">
      <c r="A12" s="2068" t="s">
        <v>1748</v>
      </c>
      <c r="B12" s="2065" t="s">
        <v>3025</v>
      </c>
      <c r="C12" s="2069" t="s">
        <v>1749</v>
      </c>
      <c r="D12" s="2070" t="s">
        <v>1750</v>
      </c>
      <c r="E12" s="2070" t="s">
        <v>1751</v>
      </c>
      <c r="F12" s="2070" t="s">
        <v>1752</v>
      </c>
      <c r="G12" s="2070" t="s">
        <v>1753</v>
      </c>
      <c r="H12" s="2070" t="s">
        <v>1754</v>
      </c>
      <c r="I12" s="2070" t="s">
        <v>1755</v>
      </c>
      <c r="J12" s="2036"/>
      <c r="K12" s="2048"/>
      <c r="L12" s="2022"/>
      <c r="M12" s="2022"/>
      <c r="N12" s="2023"/>
      <c r="O12" s="2024"/>
      <c r="P12" s="2023"/>
      <c r="Q12" s="2023"/>
      <c r="R12" s="2023"/>
    </row>
    <row r="13" spans="1:19" ht="18" customHeight="1">
      <c r="A13" s="2071"/>
      <c r="B13" s="2072"/>
      <c r="C13" s="2073" t="s">
        <v>1756</v>
      </c>
      <c r="D13" s="2074"/>
      <c r="E13" s="2074">
        <v>49185</v>
      </c>
      <c r="F13" s="2074">
        <v>52838</v>
      </c>
      <c r="G13" s="2074">
        <f>F13</f>
        <v>52838</v>
      </c>
      <c r="H13" s="2074"/>
      <c r="I13" s="1043"/>
      <c r="J13" s="2036"/>
      <c r="K13" s="2048"/>
      <c r="L13" s="2022"/>
      <c r="M13" s="2022"/>
      <c r="N13" s="2023"/>
      <c r="O13" s="2024"/>
      <c r="P13" s="2023"/>
      <c r="Q13" s="2023"/>
      <c r="R13" s="2023"/>
    </row>
    <row r="14" spans="1:19" ht="18" customHeight="1">
      <c r="A14" s="2071"/>
      <c r="B14" s="2072"/>
      <c r="C14" s="2073" t="s">
        <v>1757</v>
      </c>
      <c r="D14" s="1046"/>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1758</v>
      </c>
      <c r="D15" s="1045" t="str">
        <f>IF(B12="出让",IF(D13="","",ROUNDDOWN(MIN((D13-$D$3)/365,D14),2)),D14)</f>
        <v/>
      </c>
      <c r="E15" s="1045">
        <f>IF(B12="出让",IF(E13="","",ROUNDDOWN(MIN((E13-$D$3)/365,E14),2)),E14)</f>
        <v>14.76</v>
      </c>
      <c r="F15" s="1045">
        <f>IF(B12="出让",IF(F13="","",ROUNDDOWN(MIN((F13-$D$3)/365,F14),2)),F14)</f>
        <v>24.77</v>
      </c>
      <c r="G15" s="1045">
        <f>IF(B12="出让",IF(G13="","",ROUNDDOWN(MIN((G13-$D$3)/365,G14),2)),G14)</f>
        <v>24.77</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1759</v>
      </c>
      <c r="B16" s="3134"/>
      <c r="C16" s="3135"/>
      <c r="D16" s="3136"/>
      <c r="E16" s="2080" t="s">
        <v>1760</v>
      </c>
      <c r="F16" s="3137"/>
      <c r="G16" s="3138"/>
      <c r="H16" s="3138"/>
      <c r="I16" s="3139"/>
      <c r="J16" s="2023"/>
      <c r="K16" s="2077"/>
      <c r="L16" s="2078"/>
      <c r="M16" s="2078"/>
      <c r="N16" s="2079"/>
      <c r="O16" s="2078"/>
      <c r="P16" s="2079"/>
      <c r="Q16" s="2023"/>
      <c r="R16" s="2023"/>
    </row>
    <row r="17" spans="1:22" ht="18" customHeight="1">
      <c r="A17" s="2081" t="s">
        <v>1761</v>
      </c>
      <c r="B17" s="2029" t="s">
        <v>1762</v>
      </c>
      <c r="C17" s="1050">
        <f>'数据-汇总表'!E3</f>
        <v>21282.42</v>
      </c>
      <c r="D17" s="2082" t="s">
        <v>1763</v>
      </c>
      <c r="E17" s="3140" t="s">
        <v>1764</v>
      </c>
      <c r="F17" s="3141"/>
      <c r="G17" s="3141"/>
      <c r="H17" s="3141"/>
      <c r="I17" s="3142"/>
      <c r="J17" s="2023"/>
      <c r="K17" s="2083"/>
      <c r="L17" s="2078"/>
      <c r="M17" s="2078"/>
      <c r="N17" s="2079"/>
      <c r="O17" s="2078"/>
      <c r="P17" s="2079"/>
      <c r="Q17" s="2023"/>
      <c r="R17" s="2023"/>
      <c r="S17" s="2023"/>
      <c r="T17" s="2023"/>
      <c r="U17" s="2023"/>
      <c r="V17" s="2023"/>
    </row>
    <row r="18" spans="1:22" ht="36" customHeight="1" thickBot="1">
      <c r="A18" s="2084" t="s">
        <v>1765</v>
      </c>
      <c r="B18" s="2032" t="s">
        <v>1766</v>
      </c>
      <c r="C18" s="1439">
        <f>'数据-汇总表'!D3</f>
        <v>2179.29</v>
      </c>
      <c r="D18" s="2085" t="s">
        <v>1763</v>
      </c>
      <c r="E18" s="3143" t="s">
        <v>1767</v>
      </c>
      <c r="F18" s="3144"/>
      <c r="G18" s="3144"/>
      <c r="H18" s="3144"/>
      <c r="I18" s="3145"/>
      <c r="J18" s="2023"/>
      <c r="K18" s="2083"/>
      <c r="L18" s="2078"/>
      <c r="M18" s="2078"/>
      <c r="N18" s="2079"/>
      <c r="O18" s="2078"/>
      <c r="P18" s="2079"/>
      <c r="Q18" s="2023"/>
      <c r="R18" s="2023"/>
      <c r="S18" s="2023"/>
      <c r="T18" s="2023"/>
      <c r="U18" s="2023"/>
      <c r="V18" s="2023"/>
    </row>
    <row r="19" spans="1:22" ht="37.5" customHeight="1" thickTop="1" thickBot="1">
      <c r="A19" s="373" t="s">
        <v>1768</v>
      </c>
      <c r="B19" s="352" t="s">
        <v>1769</v>
      </c>
      <c r="C19" s="2086"/>
      <c r="D19" s="2087" t="s">
        <v>1770</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1771</v>
      </c>
      <c r="B20" s="3130" t="s">
        <v>1772</v>
      </c>
      <c r="C20" s="3131"/>
      <c r="D20" s="3132" t="s">
        <v>1773</v>
      </c>
      <c r="E20" s="3133"/>
      <c r="F20" s="2092" t="s">
        <v>1774</v>
      </c>
      <c r="G20" s="2036"/>
      <c r="H20" s="2036"/>
      <c r="I20" s="2036"/>
      <c r="J20" s="2036"/>
      <c r="K20" s="3129" t="s">
        <v>1775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1776</v>
      </c>
      <c r="C21" s="2094" t="s">
        <v>1777</v>
      </c>
      <c r="D21" s="2095" t="s">
        <v>1778</v>
      </c>
      <c r="E21" s="2096" t="s">
        <v>1777</v>
      </c>
      <c r="F21" s="2097"/>
      <c r="G21" s="2036"/>
      <c r="H21" s="2036"/>
      <c r="I21" s="2036"/>
      <c r="J21" s="2036"/>
      <c r="K21" s="31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1779</v>
      </c>
      <c r="C22" s="2094" t="s">
        <v>1780</v>
      </c>
      <c r="D22" s="2020"/>
      <c r="E22" s="2020"/>
      <c r="F22" s="2099"/>
      <c r="G22" s="2036"/>
      <c r="H22" s="2036"/>
      <c r="I22" s="2036"/>
      <c r="J22" s="2036"/>
      <c r="K22" s="3129"/>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1781</v>
      </c>
      <c r="B23" s="183" t="s">
        <v>1782</v>
      </c>
      <c r="C23" s="2101"/>
      <c r="D23" s="2102" t="s">
        <v>1782</v>
      </c>
      <c r="E23" s="2103"/>
      <c r="F23" s="2099"/>
      <c r="G23" s="2036"/>
      <c r="H23" s="2036"/>
      <c r="I23" s="2036"/>
      <c r="J23" s="2036"/>
      <c r="K23" s="2104"/>
      <c r="L23" s="748"/>
      <c r="M23" s="2022"/>
      <c r="N23" s="2079"/>
      <c r="O23" s="2078"/>
      <c r="P23" s="2079"/>
      <c r="Q23" s="2023"/>
      <c r="R23" s="2023"/>
      <c r="S23" s="2023"/>
      <c r="T23" s="2023"/>
      <c r="U23" s="2023"/>
      <c r="V23" s="2023"/>
    </row>
    <row r="24" spans="1:22" ht="18" customHeight="1">
      <c r="A24" s="2105"/>
      <c r="B24" s="183" t="s">
        <v>1783</v>
      </c>
      <c r="C24" s="2106"/>
      <c r="D24" s="2100" t="s">
        <v>1783</v>
      </c>
      <c r="E24" s="2107"/>
      <c r="F24" s="2099"/>
      <c r="G24" s="2036"/>
      <c r="H24" s="2036"/>
      <c r="I24" s="2036"/>
      <c r="J24" s="2036"/>
      <c r="K24" s="2104"/>
      <c r="L24" s="748"/>
      <c r="M24" s="2022"/>
      <c r="N24" s="2079"/>
      <c r="O24" s="2078"/>
      <c r="P24" s="2079"/>
      <c r="Q24" s="2023"/>
      <c r="R24" s="2023"/>
      <c r="S24" s="2023"/>
      <c r="T24" s="2023"/>
      <c r="U24" s="2023"/>
      <c r="V24" s="2023"/>
    </row>
    <row r="25" spans="1:22" ht="18" customHeight="1">
      <c r="A25" s="2105"/>
      <c r="B25" s="183" t="s">
        <v>1784</v>
      </c>
      <c r="C25" s="2106"/>
      <c r="D25" s="2100" t="s">
        <v>1784</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1785</v>
      </c>
      <c r="C26" s="2110"/>
      <c r="D26" s="2111" t="s">
        <v>1786</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47" t="s">
        <v>1787</v>
      </c>
      <c r="B27" s="2057" t="s">
        <v>1788</v>
      </c>
      <c r="C27" s="2114" t="s">
        <v>3026</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47"/>
      <c r="B28" s="2029" t="s">
        <v>1789</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47"/>
      <c r="B29" s="2029" t="s">
        <v>1790</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48"/>
      <c r="B30" s="2029" t="s">
        <v>1791</v>
      </c>
      <c r="C30" s="3149"/>
      <c r="D30" s="3150"/>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51" t="s">
        <v>1792</v>
      </c>
      <c r="B31" s="2121" t="s">
        <v>3027</v>
      </c>
      <c r="C31" s="2122" t="str">
        <f>IF(B31="现房","成新及维护状况正常否",IF(B31="在建","工程状态是否正常",IF(B31="土地","是否闲置","-")))</f>
        <v>成新及维护状况正常否</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52"/>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52"/>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8" t="s">
        <v>3028</v>
      </c>
      <c r="C34" s="2128" t="s">
        <v>3029</v>
      </c>
      <c r="D34" s="2128" t="s">
        <v>3030</v>
      </c>
      <c r="E34" s="2128" t="s">
        <v>3031</v>
      </c>
      <c r="F34" s="2128" t="s">
        <v>3032</v>
      </c>
      <c r="G34" s="2128" t="s">
        <v>3374</v>
      </c>
      <c r="H34" s="2128" t="s">
        <v>3033</v>
      </c>
      <c r="I34" s="2036"/>
      <c r="J34" s="2036"/>
      <c r="K34" s="1790">
        <f>COUNTIF(B34:H34,"——")</f>
        <v>0</v>
      </c>
      <c r="L34" s="2069" t="s">
        <v>1794</v>
      </c>
      <c r="M34" s="2069" t="s">
        <v>1795</v>
      </c>
      <c r="N34" s="2069" t="s">
        <v>1796</v>
      </c>
      <c r="O34" s="2069" t="s">
        <v>1797</v>
      </c>
      <c r="P34" s="2069" t="s">
        <v>1798</v>
      </c>
      <c r="Q34" s="2069" t="s">
        <v>1799</v>
      </c>
      <c r="R34" s="2069" t="s">
        <v>1800</v>
      </c>
      <c r="S34" s="3146" t="s">
        <v>1801</v>
      </c>
      <c r="T34" s="2129" t="str">
        <f>NUMBERSTRING(7-K34,1)&amp;"通"</f>
        <v>七通</v>
      </c>
      <c r="U34" s="2023"/>
      <c r="V34" s="2023"/>
    </row>
    <row r="35" spans="1:22" ht="18" customHeight="1">
      <c r="A35" s="2130"/>
      <c r="B35" s="3153" t="s">
        <v>1802</v>
      </c>
      <c r="C35" s="3153"/>
      <c r="D35" s="3153"/>
      <c r="E35" s="3153"/>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46"/>
      <c r="T35" s="48" t="str">
        <f>IF(T34="一通",L35,IF(T34="二通",M35,IF(T34="三通",N35,IF(T34="四通",O35,IF(T34="五通",P35,IF(T34="六通",Q35,R35))))))</f>
        <v>通路、通电、通讯、通上水、通下水、燃气、平整</v>
      </c>
      <c r="U35" s="2023"/>
      <c r="V35" s="2023"/>
    </row>
    <row r="36" spans="1:22" ht="18" customHeight="1">
      <c r="A36" s="2132"/>
      <c r="B36" s="2131" t="s">
        <v>1803</v>
      </c>
      <c r="C36" s="2131" t="s">
        <v>1804</v>
      </c>
      <c r="D36" s="2131" t="s">
        <v>1805</v>
      </c>
      <c r="E36" s="2131" t="s">
        <v>1806</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1807</v>
      </c>
      <c r="B37" s="2135" t="s">
        <v>442</v>
      </c>
      <c r="C37" s="2135" t="s">
        <v>442</v>
      </c>
      <c r="D37" s="2135"/>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1808</v>
      </c>
      <c r="B38" s="2137" t="s">
        <v>364</v>
      </c>
      <c r="C38" s="2137" t="s">
        <v>344</v>
      </c>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1809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6"/>
      <c r="L40" s="2078"/>
      <c r="M40" s="2078"/>
      <c r="N40" s="2079"/>
      <c r="O40" s="2078"/>
      <c r="P40" s="2023"/>
      <c r="Q40" s="2023"/>
      <c r="R40" s="2023"/>
      <c r="S40" s="2023"/>
      <c r="T40" s="2023"/>
      <c r="U40" s="2023"/>
      <c r="V40" s="2023"/>
    </row>
    <row r="41" spans="1:22" ht="18" customHeight="1">
      <c r="A41" s="8" t="s">
        <v>1810</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1811</v>
      </c>
      <c r="B42" s="1790" t="s">
        <v>1812</v>
      </c>
      <c r="C42" s="1790" t="s">
        <v>1813</v>
      </c>
      <c r="D42" s="1790" t="s">
        <v>1814</v>
      </c>
      <c r="E42" s="1790" t="s">
        <v>1815</v>
      </c>
      <c r="F42" s="1790" t="s">
        <v>1816</v>
      </c>
      <c r="G42" s="1790" t="s">
        <v>1817</v>
      </c>
      <c r="H42" s="1790" t="s">
        <v>1818</v>
      </c>
      <c r="I42" s="1790" t="s">
        <v>1819</v>
      </c>
      <c r="J42" s="2147" t="s">
        <v>1820</v>
      </c>
      <c r="K42" s="2070" t="s">
        <v>1821</v>
      </c>
      <c r="L42" s="2070" t="s">
        <v>1822</v>
      </c>
      <c r="M42" s="2070" t="s">
        <v>1823</v>
      </c>
      <c r="N42" s="1790" t="s">
        <v>1824</v>
      </c>
      <c r="O42" s="1790" t="s">
        <v>1825</v>
      </c>
      <c r="P42" s="1790" t="s">
        <v>1826</v>
      </c>
      <c r="Q42" s="2069" t="s">
        <v>1827</v>
      </c>
      <c r="R42" s="2069" t="s">
        <v>1828</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M44"/>
  <sheetViews>
    <sheetView topLeftCell="A24" zoomScale="80" zoomScaleNormal="80" workbookViewId="0">
      <selection activeCell="N10" sqref="N10"/>
    </sheetView>
  </sheetViews>
  <sheetFormatPr defaultRowHeight="12"/>
  <cols>
    <col min="1" max="1" width="7.125" style="3048" customWidth="1"/>
    <col min="2" max="2" width="6.5" style="3048" customWidth="1"/>
    <col min="3" max="3" width="21.375" style="3048" customWidth="1"/>
    <col min="4" max="4" width="18.25" style="3048" customWidth="1"/>
    <col min="5" max="5" width="12.25" style="3048" bestFit="1" customWidth="1"/>
    <col min="6" max="6" width="24.75" style="3048" customWidth="1"/>
    <col min="7" max="7" width="10.75" style="3048" customWidth="1"/>
    <col min="8" max="8" width="9.25" style="3048" customWidth="1"/>
    <col min="9" max="9" width="20.875" style="3048" customWidth="1"/>
    <col min="10" max="10" width="13.25" style="3048" customWidth="1"/>
    <col min="11" max="11" width="5.875" style="3048" customWidth="1"/>
    <col min="12" max="12" width="11.5" style="3048" customWidth="1"/>
    <col min="13" max="16384" width="9" style="3048"/>
  </cols>
  <sheetData>
    <row r="2" spans="2:13" ht="26.25" customHeight="1">
      <c r="B2" s="3045" t="s">
        <v>3114</v>
      </c>
      <c r="C2" s="3045" t="s">
        <v>3115</v>
      </c>
      <c r="D2" s="3046" t="s">
        <v>3116</v>
      </c>
      <c r="E2" s="3045" t="s">
        <v>3295</v>
      </c>
      <c r="F2" s="3045" t="s">
        <v>3117</v>
      </c>
      <c r="G2" s="3045" t="s">
        <v>3118</v>
      </c>
      <c r="H2" s="3047" t="s">
        <v>3248</v>
      </c>
      <c r="I2" s="3049" t="s">
        <v>3250</v>
      </c>
      <c r="J2" s="3049" t="s">
        <v>3252</v>
      </c>
    </row>
    <row r="3" spans="2:13" ht="26.25" customHeight="1">
      <c r="B3" s="3051">
        <v>1</v>
      </c>
      <c r="C3" s="3052" t="s">
        <v>3253</v>
      </c>
      <c r="D3" s="3052" t="s">
        <v>3256</v>
      </c>
      <c r="E3" s="3051">
        <v>2099.0100000000002</v>
      </c>
      <c r="F3" s="3052" t="s">
        <v>3257</v>
      </c>
      <c r="G3" s="3051">
        <v>215.3</v>
      </c>
      <c r="H3" s="3049" t="s">
        <v>3298</v>
      </c>
      <c r="I3" s="3049" t="s">
        <v>3251</v>
      </c>
      <c r="J3" s="3053">
        <v>52838</v>
      </c>
      <c r="L3" s="3049" t="s">
        <v>3299</v>
      </c>
      <c r="M3" s="3049" t="s">
        <v>3300</v>
      </c>
    </row>
    <row r="4" spans="2:13" ht="26.25" customHeight="1">
      <c r="B4" s="3051">
        <v>2</v>
      </c>
      <c r="C4" s="3051" t="s">
        <v>3258</v>
      </c>
      <c r="D4" s="3052" t="s">
        <v>3259</v>
      </c>
      <c r="E4" s="3051">
        <v>390.54</v>
      </c>
      <c r="F4" s="3052" t="s">
        <v>3260</v>
      </c>
      <c r="G4" s="3051">
        <v>40.06</v>
      </c>
      <c r="H4" s="3049" t="s">
        <v>3298</v>
      </c>
      <c r="I4" s="3049" t="s">
        <v>3251</v>
      </c>
      <c r="J4" s="3053">
        <v>52838</v>
      </c>
      <c r="L4" s="3049">
        <v>1996</v>
      </c>
      <c r="M4" s="3049">
        <v>20</v>
      </c>
    </row>
    <row r="5" spans="2:13" ht="42.75" customHeight="1">
      <c r="B5" s="3051">
        <v>3</v>
      </c>
      <c r="C5" s="3051" t="s">
        <v>3261</v>
      </c>
      <c r="D5" s="3052" t="s">
        <v>3262</v>
      </c>
      <c r="E5" s="3051">
        <v>1136.8499999999999</v>
      </c>
      <c r="F5" s="3052" t="s">
        <v>3263</v>
      </c>
      <c r="G5" s="3051">
        <v>116.6</v>
      </c>
      <c r="H5" s="3049" t="s">
        <v>3298</v>
      </c>
      <c r="I5" s="3049" t="s">
        <v>3251</v>
      </c>
      <c r="J5" s="3053">
        <v>52838</v>
      </c>
    </row>
    <row r="6" spans="2:13" ht="26.25" customHeight="1">
      <c r="B6" s="3051">
        <v>4</v>
      </c>
      <c r="C6" s="3051" t="s">
        <v>3264</v>
      </c>
      <c r="D6" s="3052" t="s">
        <v>3265</v>
      </c>
      <c r="E6" s="3051">
        <v>522.15</v>
      </c>
      <c r="F6" s="3052" t="s">
        <v>3266</v>
      </c>
      <c r="G6" s="3051">
        <v>53.55</v>
      </c>
      <c r="H6" s="3049" t="s">
        <v>3298</v>
      </c>
      <c r="I6" s="3049" t="s">
        <v>3251</v>
      </c>
      <c r="J6" s="3053">
        <v>52838</v>
      </c>
      <c r="L6" s="3049" t="s">
        <v>3305</v>
      </c>
    </row>
    <row r="7" spans="2:13" ht="26.25" customHeight="1">
      <c r="B7" s="3051">
        <v>5</v>
      </c>
      <c r="C7" s="3051" t="s">
        <v>3267</v>
      </c>
      <c r="D7" s="3052" t="s">
        <v>3268</v>
      </c>
      <c r="E7" s="3051">
        <v>747.51</v>
      </c>
      <c r="F7" s="3052" t="s">
        <v>3269</v>
      </c>
      <c r="G7" s="3051">
        <v>76.67</v>
      </c>
      <c r="H7" s="3049" t="s">
        <v>3298</v>
      </c>
      <c r="I7" s="3049" t="s">
        <v>3251</v>
      </c>
      <c r="J7" s="3053">
        <v>52838</v>
      </c>
      <c r="L7" s="3049" t="s">
        <v>3306</v>
      </c>
    </row>
    <row r="8" spans="2:13" ht="26.25" customHeight="1">
      <c r="B8" s="3051">
        <v>6</v>
      </c>
      <c r="C8" s="3051" t="s">
        <v>3270</v>
      </c>
      <c r="D8" s="3052" t="s">
        <v>3271</v>
      </c>
      <c r="E8" s="3051">
        <v>659.19</v>
      </c>
      <c r="F8" s="3052" t="s">
        <v>3272</v>
      </c>
      <c r="G8" s="3051">
        <v>67.61</v>
      </c>
      <c r="H8" s="3049" t="s">
        <v>3298</v>
      </c>
      <c r="I8" s="3049" t="s">
        <v>3251</v>
      </c>
      <c r="J8" s="3053">
        <v>52838</v>
      </c>
    </row>
    <row r="9" spans="2:13" ht="26.25" customHeight="1">
      <c r="B9" s="3051">
        <v>7</v>
      </c>
      <c r="C9" s="3051" t="s">
        <v>3254</v>
      </c>
      <c r="D9" s="3052" t="s">
        <v>3273</v>
      </c>
      <c r="E9" s="3051">
        <v>525.14</v>
      </c>
      <c r="F9" s="3052" t="s">
        <v>3274</v>
      </c>
      <c r="G9" s="3051">
        <v>53.87</v>
      </c>
      <c r="H9" s="3049" t="s">
        <v>3298</v>
      </c>
      <c r="I9" s="3054" t="s">
        <v>3297</v>
      </c>
      <c r="J9" s="3053">
        <v>52838</v>
      </c>
    </row>
    <row r="10" spans="2:13" ht="26.25" customHeight="1">
      <c r="B10" s="3051">
        <v>8</v>
      </c>
      <c r="C10" s="3051" t="s">
        <v>3255</v>
      </c>
      <c r="D10" s="3056" t="s">
        <v>3323</v>
      </c>
      <c r="E10" s="3051">
        <v>35.47</v>
      </c>
      <c r="F10" s="3052" t="s">
        <v>70</v>
      </c>
      <c r="G10" s="3052" t="s">
        <v>70</v>
      </c>
      <c r="H10" s="3049" t="s">
        <v>3298</v>
      </c>
      <c r="I10" s="3049" t="s">
        <v>3251</v>
      </c>
      <c r="J10" s="3053">
        <v>52838</v>
      </c>
    </row>
    <row r="11" spans="2:13" ht="26.25" customHeight="1">
      <c r="B11" s="3051">
        <v>9</v>
      </c>
      <c r="C11" s="3051" t="s">
        <v>3275</v>
      </c>
      <c r="D11" s="3052" t="s">
        <v>3276</v>
      </c>
      <c r="E11" s="3051">
        <v>1776.4</v>
      </c>
      <c r="F11" s="3052" t="s">
        <v>3277</v>
      </c>
      <c r="G11" s="3051">
        <v>182.21</v>
      </c>
      <c r="H11" s="3049" t="s">
        <v>3298</v>
      </c>
      <c r="I11" s="3049" t="s">
        <v>3251</v>
      </c>
      <c r="J11" s="3053">
        <v>52838</v>
      </c>
    </row>
    <row r="12" spans="2:13" ht="26.25" customHeight="1">
      <c r="B12" s="3051">
        <v>10</v>
      </c>
      <c r="C12" s="3051" t="s">
        <v>3278</v>
      </c>
      <c r="D12" s="3052" t="s">
        <v>3279</v>
      </c>
      <c r="E12" s="3051">
        <v>362.9</v>
      </c>
      <c r="F12" s="3052" t="s">
        <v>3280</v>
      </c>
      <c r="G12" s="3051">
        <v>37.22</v>
      </c>
      <c r="H12" s="3049" t="s">
        <v>3298</v>
      </c>
      <c r="I12" s="3054" t="s">
        <v>3301</v>
      </c>
      <c r="J12" s="3053">
        <v>52838</v>
      </c>
    </row>
    <row r="13" spans="2:13" ht="26.25" customHeight="1">
      <c r="B13" s="3051">
        <v>11</v>
      </c>
      <c r="C13" s="3051" t="s">
        <v>3281</v>
      </c>
      <c r="D13" s="3052" t="s">
        <v>3282</v>
      </c>
      <c r="E13" s="3051">
        <v>1677.77</v>
      </c>
      <c r="F13" s="3052" t="s">
        <v>3283</v>
      </c>
      <c r="G13" s="3051">
        <v>172.09</v>
      </c>
      <c r="H13" s="3049" t="s">
        <v>3298</v>
      </c>
      <c r="I13" s="3049" t="s">
        <v>3251</v>
      </c>
      <c r="J13" s="3053">
        <v>52838</v>
      </c>
    </row>
    <row r="14" spans="2:13" ht="26.25" customHeight="1">
      <c r="B14" s="3051">
        <v>12</v>
      </c>
      <c r="C14" s="3051" t="s">
        <v>3284</v>
      </c>
      <c r="D14" s="3052" t="s">
        <v>3285</v>
      </c>
      <c r="E14" s="3051">
        <v>2010.68</v>
      </c>
      <c r="F14" s="3052" t="s">
        <v>3286</v>
      </c>
      <c r="G14" s="3051">
        <v>206.23</v>
      </c>
      <c r="H14" s="3049" t="s">
        <v>3298</v>
      </c>
      <c r="I14" s="3054" t="s">
        <v>3297</v>
      </c>
      <c r="J14" s="3053">
        <v>52838</v>
      </c>
    </row>
    <row r="15" spans="2:13" ht="26.25" customHeight="1">
      <c r="B15" s="3051">
        <v>13</v>
      </c>
      <c r="C15" s="3051" t="s">
        <v>3302</v>
      </c>
      <c r="D15" s="3052" t="s">
        <v>3307</v>
      </c>
      <c r="E15" s="3051">
        <v>359.14</v>
      </c>
      <c r="F15" s="3052" t="s">
        <v>3308</v>
      </c>
      <c r="G15" s="3051">
        <v>36.840000000000003</v>
      </c>
      <c r="H15" s="3049" t="s">
        <v>3304</v>
      </c>
      <c r="I15" s="3054" t="s">
        <v>3309</v>
      </c>
      <c r="J15" s="3053">
        <v>52838</v>
      </c>
    </row>
    <row r="16" spans="2:13" ht="26.25" customHeight="1">
      <c r="B16" s="3051">
        <v>14</v>
      </c>
      <c r="C16" s="3051" t="s">
        <v>3314</v>
      </c>
      <c r="D16" s="3052" t="s">
        <v>3312</v>
      </c>
      <c r="E16" s="3051">
        <v>340.23</v>
      </c>
      <c r="F16" s="3052" t="s">
        <v>3308</v>
      </c>
      <c r="G16" s="3051">
        <v>34.9</v>
      </c>
      <c r="H16" s="3049" t="s">
        <v>3304</v>
      </c>
      <c r="I16" s="3054" t="s">
        <v>3309</v>
      </c>
      <c r="J16" s="3053">
        <v>52838</v>
      </c>
    </row>
    <row r="17" spans="2:10" ht="26.25" customHeight="1">
      <c r="B17" s="3051">
        <v>15</v>
      </c>
      <c r="C17" s="3051" t="s">
        <v>3317</v>
      </c>
      <c r="D17" s="3052" t="s">
        <v>3315</v>
      </c>
      <c r="E17" s="3051">
        <v>281.88</v>
      </c>
      <c r="F17" s="3052" t="s">
        <v>3308</v>
      </c>
      <c r="G17" s="3051">
        <v>28.91</v>
      </c>
      <c r="H17" s="3049" t="s">
        <v>3304</v>
      </c>
      <c r="I17" s="3054" t="s">
        <v>3309</v>
      </c>
      <c r="J17" s="3053">
        <v>52838</v>
      </c>
    </row>
    <row r="18" spans="2:10" ht="26.25" customHeight="1">
      <c r="B18" s="3051">
        <v>16</v>
      </c>
      <c r="C18" s="3051" t="s">
        <v>3320</v>
      </c>
      <c r="D18" s="3052" t="s">
        <v>3318</v>
      </c>
      <c r="E18" s="3051">
        <v>292.12</v>
      </c>
      <c r="F18" s="3052" t="s">
        <v>3308</v>
      </c>
      <c r="G18" s="3051">
        <v>29.96</v>
      </c>
      <c r="H18" s="3049" t="s">
        <v>3304</v>
      </c>
      <c r="I18" s="3054" t="s">
        <v>3309</v>
      </c>
      <c r="J18" s="3053">
        <v>52838</v>
      </c>
    </row>
    <row r="19" spans="2:10" ht="26.25" customHeight="1">
      <c r="B19" s="3051">
        <v>17</v>
      </c>
      <c r="C19" s="3051" t="s">
        <v>3322</v>
      </c>
      <c r="D19" s="3052" t="s">
        <v>3321</v>
      </c>
      <c r="E19" s="3051">
        <v>359.14</v>
      </c>
      <c r="F19" s="3052" t="s">
        <v>3308</v>
      </c>
      <c r="G19" s="3051">
        <v>36.840000000000003</v>
      </c>
      <c r="H19" s="3049" t="s">
        <v>3304</v>
      </c>
      <c r="I19" s="3054" t="s">
        <v>3309</v>
      </c>
      <c r="J19" s="3053">
        <v>52838</v>
      </c>
    </row>
    <row r="20" spans="2:10" ht="26.25" customHeight="1">
      <c r="B20" s="3051">
        <v>18</v>
      </c>
      <c r="C20" s="3051" t="s">
        <v>3327</v>
      </c>
      <c r="D20" s="3052" t="s">
        <v>3325</v>
      </c>
      <c r="E20" s="3051">
        <v>247.17</v>
      </c>
      <c r="F20" s="3052" t="s">
        <v>3308</v>
      </c>
      <c r="G20" s="3051">
        <v>25.35</v>
      </c>
      <c r="H20" s="3049" t="s">
        <v>3304</v>
      </c>
      <c r="I20" s="3054" t="s">
        <v>3309</v>
      </c>
      <c r="J20" s="3053">
        <v>52838</v>
      </c>
    </row>
    <row r="21" spans="2:10" ht="26.25" customHeight="1">
      <c r="B21" s="3051">
        <v>19</v>
      </c>
      <c r="C21" s="3051" t="s">
        <v>3329</v>
      </c>
      <c r="D21" s="3052" t="s">
        <v>3328</v>
      </c>
      <c r="E21" s="3051">
        <v>255.86</v>
      </c>
      <c r="F21" s="3052" t="s">
        <v>3308</v>
      </c>
      <c r="G21" s="3051">
        <v>26.24</v>
      </c>
      <c r="H21" s="3049" t="s">
        <v>3304</v>
      </c>
      <c r="I21" s="3054" t="s">
        <v>3309</v>
      </c>
      <c r="J21" s="3053">
        <v>52838</v>
      </c>
    </row>
    <row r="22" spans="2:10" ht="26.25" customHeight="1">
      <c r="B22" s="3051">
        <v>20</v>
      </c>
      <c r="C22" s="3051" t="s">
        <v>3332</v>
      </c>
      <c r="D22" s="3052" t="s">
        <v>3330</v>
      </c>
      <c r="E22" s="3051">
        <v>340.23</v>
      </c>
      <c r="F22" s="3052" t="s">
        <v>3308</v>
      </c>
      <c r="G22" s="3051">
        <v>34.9</v>
      </c>
      <c r="H22" s="3049" t="s">
        <v>3304</v>
      </c>
      <c r="I22" s="3054" t="s">
        <v>3309</v>
      </c>
      <c r="J22" s="3053">
        <v>52838</v>
      </c>
    </row>
    <row r="23" spans="2:10" ht="26.25" customHeight="1">
      <c r="B23" s="3051">
        <v>21</v>
      </c>
      <c r="C23" s="3051" t="s">
        <v>3335</v>
      </c>
      <c r="D23" s="3052" t="s">
        <v>3333</v>
      </c>
      <c r="E23" s="3051">
        <v>281.88</v>
      </c>
      <c r="F23" s="3052" t="s">
        <v>3308</v>
      </c>
      <c r="G23" s="3051">
        <v>28.91</v>
      </c>
      <c r="H23" s="3049" t="s">
        <v>3304</v>
      </c>
      <c r="I23" s="3054" t="s">
        <v>3309</v>
      </c>
      <c r="J23" s="3053">
        <v>52838</v>
      </c>
    </row>
    <row r="24" spans="2:10" ht="26.25" customHeight="1">
      <c r="B24" s="3051">
        <v>22</v>
      </c>
      <c r="C24" s="3051" t="s">
        <v>3338</v>
      </c>
      <c r="D24" s="3052" t="s">
        <v>3336</v>
      </c>
      <c r="E24" s="3051">
        <v>292.12</v>
      </c>
      <c r="F24" s="3052" t="s">
        <v>3308</v>
      </c>
      <c r="G24" s="3051">
        <v>29.96</v>
      </c>
      <c r="H24" s="3049" t="s">
        <v>3304</v>
      </c>
      <c r="I24" s="3054" t="s">
        <v>3309</v>
      </c>
      <c r="J24" s="3053">
        <v>52838</v>
      </c>
    </row>
    <row r="25" spans="2:10" ht="26.25" customHeight="1">
      <c r="B25" s="3051">
        <v>23</v>
      </c>
      <c r="C25" s="3051" t="s">
        <v>3341</v>
      </c>
      <c r="D25" s="3052" t="s">
        <v>3339</v>
      </c>
      <c r="E25" s="3051">
        <v>247.17</v>
      </c>
      <c r="F25" s="3052" t="s">
        <v>3308</v>
      </c>
      <c r="G25" s="3051">
        <v>25.36</v>
      </c>
      <c r="H25" s="3049" t="s">
        <v>3304</v>
      </c>
      <c r="I25" s="3054" t="s">
        <v>3309</v>
      </c>
      <c r="J25" s="3053">
        <v>52838</v>
      </c>
    </row>
    <row r="26" spans="2:10" ht="26.25" customHeight="1">
      <c r="B26" s="3051">
        <v>24</v>
      </c>
      <c r="C26" s="3051" t="s">
        <v>3343</v>
      </c>
      <c r="D26" s="3052" t="s">
        <v>3342</v>
      </c>
      <c r="E26" s="3051">
        <v>255.86</v>
      </c>
      <c r="F26" s="3052" t="s">
        <v>3308</v>
      </c>
      <c r="G26" s="3051">
        <v>26.24</v>
      </c>
      <c r="H26" s="3049" t="s">
        <v>3304</v>
      </c>
      <c r="I26" s="3054" t="s">
        <v>3309</v>
      </c>
      <c r="J26" s="3053">
        <v>52838</v>
      </c>
    </row>
    <row r="27" spans="2:10" ht="26.25" customHeight="1">
      <c r="B27" s="3154" t="s">
        <v>40</v>
      </c>
      <c r="C27" s="3154"/>
      <c r="D27" s="3154"/>
      <c r="E27" s="3057">
        <f>SUM(E3:E26)</f>
        <v>15496.41</v>
      </c>
      <c r="F27" s="3059" t="s">
        <v>70</v>
      </c>
      <c r="G27" s="3057">
        <f>SUM(G3:G26)</f>
        <v>1585.8200000000002</v>
      </c>
      <c r="H27" s="3058" t="s">
        <v>3308</v>
      </c>
      <c r="I27" s="3058" t="s">
        <v>3308</v>
      </c>
      <c r="J27" s="3058" t="s">
        <v>3308</v>
      </c>
    </row>
    <row r="28" spans="2:10" ht="26.25" customHeight="1">
      <c r="B28" s="3051">
        <v>25</v>
      </c>
      <c r="C28" s="3051" t="s">
        <v>3287</v>
      </c>
      <c r="D28" s="3051" t="s">
        <v>3288</v>
      </c>
      <c r="E28" s="3051">
        <v>2404.44</v>
      </c>
      <c r="F28" s="3052" t="s">
        <v>3289</v>
      </c>
      <c r="G28" s="3051">
        <v>246.62</v>
      </c>
      <c r="H28" s="3049" t="s">
        <v>3296</v>
      </c>
      <c r="I28" s="3049" t="s">
        <v>3251</v>
      </c>
      <c r="J28" s="3053">
        <v>49185</v>
      </c>
    </row>
    <row r="29" spans="2:10" ht="39.75" customHeight="1">
      <c r="B29" s="3051">
        <v>26</v>
      </c>
      <c r="C29" s="3051" t="s">
        <v>3290</v>
      </c>
      <c r="D29" s="3052" t="s">
        <v>3291</v>
      </c>
      <c r="E29" s="3051">
        <v>3030.55</v>
      </c>
      <c r="F29" s="3052" t="s">
        <v>3292</v>
      </c>
      <c r="G29" s="3051">
        <v>310.83999999999997</v>
      </c>
      <c r="H29" s="3049" t="s">
        <v>3249</v>
      </c>
      <c r="I29" s="3049" t="s">
        <v>3251</v>
      </c>
      <c r="J29" s="3053">
        <v>49305</v>
      </c>
    </row>
    <row r="30" spans="2:10" ht="26.25" customHeight="1">
      <c r="B30" s="3051">
        <v>27</v>
      </c>
      <c r="C30" s="3051" t="s">
        <v>3293</v>
      </c>
      <c r="D30" s="3056" t="s">
        <v>3324</v>
      </c>
      <c r="E30" s="3051">
        <v>185.94</v>
      </c>
      <c r="F30" s="3052" t="s">
        <v>3303</v>
      </c>
      <c r="G30" s="3051">
        <v>19.100000000000001</v>
      </c>
      <c r="H30" s="3049" t="s">
        <v>3296</v>
      </c>
      <c r="I30" s="3049" t="s">
        <v>3251</v>
      </c>
      <c r="J30" s="3053">
        <v>49185</v>
      </c>
    </row>
    <row r="31" spans="2:10" ht="26.25" customHeight="1">
      <c r="B31" s="3154" t="s">
        <v>40</v>
      </c>
      <c r="C31" s="3154"/>
      <c r="D31" s="3154"/>
      <c r="E31" s="3057">
        <f>SUM(E28:E30)</f>
        <v>5620.9299999999994</v>
      </c>
      <c r="F31" s="3059" t="s">
        <v>70</v>
      </c>
      <c r="G31" s="3057">
        <f>SUM(G28:G30)</f>
        <v>576.56000000000006</v>
      </c>
      <c r="H31" s="3058" t="s">
        <v>3308</v>
      </c>
      <c r="I31" s="3058" t="s">
        <v>555</v>
      </c>
      <c r="J31" s="3058" t="s">
        <v>3308</v>
      </c>
    </row>
    <row r="32" spans="2:10" ht="26.25" customHeight="1">
      <c r="B32" s="3052">
        <v>28</v>
      </c>
      <c r="C32" s="3052">
        <v>50</v>
      </c>
      <c r="D32" s="3052" t="s">
        <v>3307</v>
      </c>
      <c r="E32" s="3051">
        <v>14.96</v>
      </c>
      <c r="F32" s="3052" t="s">
        <v>3308</v>
      </c>
      <c r="G32" s="3051">
        <v>1.53</v>
      </c>
      <c r="H32" s="3049" t="s">
        <v>3310</v>
      </c>
      <c r="I32" s="3054" t="s">
        <v>3309</v>
      </c>
      <c r="J32" s="3053">
        <v>52838</v>
      </c>
    </row>
    <row r="33" spans="2:10" ht="26.25" customHeight="1">
      <c r="B33" s="3052">
        <v>29</v>
      </c>
      <c r="C33" s="3052">
        <v>57</v>
      </c>
      <c r="D33" s="3055" t="s">
        <v>3311</v>
      </c>
      <c r="E33" s="3051">
        <v>23.62</v>
      </c>
      <c r="F33" s="3052" t="s">
        <v>3308</v>
      </c>
      <c r="G33" s="3051">
        <v>2.42</v>
      </c>
      <c r="H33" s="3049" t="s">
        <v>3310</v>
      </c>
      <c r="I33" s="3054" t="s">
        <v>3309</v>
      </c>
      <c r="J33" s="3053">
        <v>52838</v>
      </c>
    </row>
    <row r="34" spans="2:10" ht="26.25" customHeight="1">
      <c r="B34" s="3052">
        <v>30</v>
      </c>
      <c r="C34" s="3052">
        <v>51</v>
      </c>
      <c r="D34" s="3052" t="s">
        <v>3312</v>
      </c>
      <c r="E34" s="3051">
        <v>13.58</v>
      </c>
      <c r="F34" s="3052" t="s">
        <v>3308</v>
      </c>
      <c r="G34" s="3051">
        <v>1.39</v>
      </c>
      <c r="H34" s="3049" t="s">
        <v>3310</v>
      </c>
      <c r="I34" s="3054" t="s">
        <v>3309</v>
      </c>
      <c r="J34" s="3053">
        <v>52838</v>
      </c>
    </row>
    <row r="35" spans="2:10" ht="26.25" customHeight="1">
      <c r="B35" s="3052">
        <v>31</v>
      </c>
      <c r="C35" s="3052">
        <v>52</v>
      </c>
      <c r="D35" s="3052" t="s">
        <v>3315</v>
      </c>
      <c r="E35" s="3051">
        <v>13.96</v>
      </c>
      <c r="F35" s="3052" t="s">
        <v>3308</v>
      </c>
      <c r="G35" s="3051">
        <v>1.43</v>
      </c>
      <c r="H35" s="3049" t="s">
        <v>3310</v>
      </c>
      <c r="I35" s="3054" t="s">
        <v>3309</v>
      </c>
      <c r="J35" s="3053">
        <v>52838</v>
      </c>
    </row>
    <row r="36" spans="2:10" ht="26.25" customHeight="1">
      <c r="B36" s="3052">
        <v>32</v>
      </c>
      <c r="C36" s="3052">
        <v>53</v>
      </c>
      <c r="D36" s="3052" t="s">
        <v>3318</v>
      </c>
      <c r="E36" s="3051">
        <v>13.36</v>
      </c>
      <c r="F36" s="3052" t="s">
        <v>3308</v>
      </c>
      <c r="G36" s="3051">
        <v>1.37</v>
      </c>
      <c r="H36" s="3049" t="s">
        <v>3310</v>
      </c>
      <c r="I36" s="3054" t="s">
        <v>3309</v>
      </c>
      <c r="J36" s="3053">
        <v>52838</v>
      </c>
    </row>
    <row r="37" spans="2:10" ht="26.25" customHeight="1">
      <c r="B37" s="3052">
        <v>33</v>
      </c>
      <c r="C37" s="3052">
        <v>55</v>
      </c>
      <c r="D37" s="3052" t="s">
        <v>3325</v>
      </c>
      <c r="E37" s="3051">
        <v>13.96</v>
      </c>
      <c r="F37" s="3052" t="s">
        <v>3308</v>
      </c>
      <c r="G37" s="3051">
        <v>1.43</v>
      </c>
      <c r="H37" s="3049" t="s">
        <v>3310</v>
      </c>
      <c r="I37" s="3054" t="s">
        <v>3309</v>
      </c>
      <c r="J37" s="3053">
        <v>52838</v>
      </c>
    </row>
    <row r="38" spans="2:10" ht="26.25" customHeight="1">
      <c r="B38" s="3052">
        <v>34</v>
      </c>
      <c r="C38" s="3052">
        <v>56</v>
      </c>
      <c r="D38" s="3052" t="s">
        <v>3328</v>
      </c>
      <c r="E38" s="3051">
        <v>22.06</v>
      </c>
      <c r="F38" s="3052" t="s">
        <v>3308</v>
      </c>
      <c r="G38" s="3051">
        <v>2.2599999999999998</v>
      </c>
      <c r="H38" s="3049" t="s">
        <v>3310</v>
      </c>
      <c r="I38" s="3054" t="s">
        <v>3309</v>
      </c>
      <c r="J38" s="3053">
        <v>52838</v>
      </c>
    </row>
    <row r="39" spans="2:10" ht="26.25" customHeight="1">
      <c r="B39" s="3052">
        <v>35</v>
      </c>
      <c r="C39" s="3052">
        <v>58</v>
      </c>
      <c r="D39" s="3052" t="s">
        <v>3330</v>
      </c>
      <c r="E39" s="3051">
        <v>22.26</v>
      </c>
      <c r="F39" s="3052" t="s">
        <v>3308</v>
      </c>
      <c r="G39" s="3051">
        <v>2.2799999999999998</v>
      </c>
      <c r="H39" s="3049" t="s">
        <v>3310</v>
      </c>
      <c r="I39" s="3054" t="s">
        <v>3309</v>
      </c>
      <c r="J39" s="3053">
        <v>52838</v>
      </c>
    </row>
    <row r="40" spans="2:10" ht="26.25" customHeight="1">
      <c r="B40" s="3052">
        <v>36</v>
      </c>
      <c r="C40" s="3052">
        <v>59</v>
      </c>
      <c r="D40" s="3052" t="s">
        <v>3333</v>
      </c>
      <c r="E40" s="3051">
        <v>13.96</v>
      </c>
      <c r="F40" s="3052" t="s">
        <v>3308</v>
      </c>
      <c r="G40" s="3051">
        <v>1.43</v>
      </c>
      <c r="H40" s="3049" t="s">
        <v>3310</v>
      </c>
      <c r="I40" s="3054" t="s">
        <v>3309</v>
      </c>
      <c r="J40" s="3053">
        <v>52838</v>
      </c>
    </row>
    <row r="41" spans="2:10" ht="26.25" customHeight="1">
      <c r="B41" s="3052">
        <v>37</v>
      </c>
      <c r="C41" s="3052">
        <v>60</v>
      </c>
      <c r="D41" s="3052" t="s">
        <v>3336</v>
      </c>
      <c r="E41" s="3051">
        <v>13.36</v>
      </c>
      <c r="F41" s="3052" t="s">
        <v>3308</v>
      </c>
      <c r="G41" s="3051">
        <v>1.37</v>
      </c>
      <c r="H41" s="3049" t="s">
        <v>3310</v>
      </c>
      <c r="I41" s="3054" t="s">
        <v>3309</v>
      </c>
      <c r="J41" s="3053">
        <v>52838</v>
      </c>
    </row>
    <row r="42" spans="2:10" ht="26.25" customHeight="1">
      <c r="B42" s="3155" t="s">
        <v>1088</v>
      </c>
      <c r="C42" s="3156"/>
      <c r="D42" s="3157"/>
      <c r="E42" s="3057">
        <f>SUM(E32:E41)</f>
        <v>165.07999999999998</v>
      </c>
      <c r="F42" s="3059" t="s">
        <v>3308</v>
      </c>
      <c r="G42" s="3057">
        <f>SUM(G32:G41)</f>
        <v>16.91</v>
      </c>
      <c r="H42" s="3058" t="s">
        <v>3308</v>
      </c>
      <c r="I42" s="3060" t="s">
        <v>3308</v>
      </c>
      <c r="J42" s="3061" t="s">
        <v>3308</v>
      </c>
    </row>
    <row r="43" spans="2:10" ht="14.25">
      <c r="B43" s="3154" t="s">
        <v>37</v>
      </c>
      <c r="C43" s="3154"/>
      <c r="D43" s="3154"/>
      <c r="E43" s="3057">
        <f>E27+E31+E42</f>
        <v>21282.420000000002</v>
      </c>
      <c r="F43" s="3057" t="s">
        <v>70</v>
      </c>
      <c r="G43" s="3057">
        <f>G27+G31+G42</f>
        <v>2179.29</v>
      </c>
      <c r="H43" s="3058" t="s">
        <v>3308</v>
      </c>
      <c r="I43" s="3058" t="s">
        <v>3308</v>
      </c>
      <c r="J43" s="3058" t="s">
        <v>555</v>
      </c>
    </row>
    <row r="44" spans="2:10">
      <c r="B44" s="3050"/>
      <c r="C44" s="3050"/>
      <c r="D44" s="3050"/>
      <c r="E44" s="3050"/>
      <c r="F44" s="3050"/>
      <c r="G44" s="3050"/>
    </row>
  </sheetData>
  <mergeCells count="4">
    <mergeCell ref="B27:D27"/>
    <mergeCell ref="B31:D31"/>
    <mergeCell ref="B43:D43"/>
    <mergeCell ref="B42:D42"/>
  </mergeCells>
  <phoneticPr fontId="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3" width="10.125" style="2154" customWidth="1"/>
    <col min="14" max="14" width="9.5" style="2154" customWidth="1"/>
    <col min="15" max="15" width="10.62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1831</v>
      </c>
      <c r="B2" s="11" t="s">
        <v>1832</v>
      </c>
      <c r="C2" s="11" t="s">
        <v>1833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1834</v>
      </c>
      <c r="AZ2" s="1266" t="s">
        <v>1835</v>
      </c>
      <c r="BA2" s="11" t="s">
        <v>1836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2179.29</v>
      </c>
      <c r="B3" s="14">
        <f>IF(C3="否",G5-AT5,G5)</f>
        <v>21282.42</v>
      </c>
      <c r="C3" s="2163" t="s">
        <v>1837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798"/>
      <c r="C5" s="1798"/>
      <c r="D5" s="1801"/>
      <c r="E5" s="16" t="s">
        <v>1</v>
      </c>
      <c r="F5" s="16">
        <f>SUM(F13:F587)</f>
        <v>0</v>
      </c>
      <c r="G5" s="16">
        <f>SUM(G13:G587)</f>
        <v>21282.42</v>
      </c>
      <c r="H5" s="16">
        <f t="shared" ref="H5:AT5" si="0">SUM(H13:H656)</f>
        <v>21282.42</v>
      </c>
      <c r="I5" s="16">
        <f t="shared" si="0"/>
        <v>2404.44</v>
      </c>
      <c r="J5" s="16">
        <f t="shared" si="0"/>
        <v>0</v>
      </c>
      <c r="K5" s="16">
        <f t="shared" si="0"/>
        <v>11386.72</v>
      </c>
      <c r="L5" s="16">
        <f t="shared" si="0"/>
        <v>0</v>
      </c>
      <c r="M5" s="16">
        <f t="shared" si="0"/>
        <v>165.07999999999998</v>
      </c>
      <c r="N5" s="16">
        <f t="shared" si="0"/>
        <v>0</v>
      </c>
      <c r="O5" s="16">
        <f t="shared" si="0"/>
        <v>2010.68</v>
      </c>
      <c r="P5" s="16">
        <f t="shared" si="0"/>
        <v>0</v>
      </c>
      <c r="Q5" s="16">
        <f t="shared" si="0"/>
        <v>3216.4900000000002</v>
      </c>
      <c r="R5" s="16">
        <f t="shared" si="0"/>
        <v>0</v>
      </c>
      <c r="S5" s="16">
        <f t="shared" si="0"/>
        <v>2099.0100000000002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1838</v>
      </c>
      <c r="AW5" s="1798"/>
      <c r="AX5" s="1798"/>
      <c r="AY5" s="17" t="s">
        <v>3</v>
      </c>
      <c r="AZ5" s="18">
        <f t="shared" ref="AZ5:BT5" si="1">SUM(AZ13:AZ656)</f>
        <v>21282.42</v>
      </c>
      <c r="BA5" s="18">
        <f t="shared" si="1"/>
        <v>21282.42</v>
      </c>
      <c r="BB5" s="18">
        <f t="shared" si="1"/>
        <v>2404.44</v>
      </c>
      <c r="BC5" s="18">
        <f t="shared" si="1"/>
        <v>11386.72</v>
      </c>
      <c r="BD5" s="18">
        <f t="shared" si="1"/>
        <v>165.07999999999998</v>
      </c>
      <c r="BE5" s="18">
        <f t="shared" si="1"/>
        <v>2010.68</v>
      </c>
      <c r="BF5" s="18">
        <f t="shared" si="1"/>
        <v>3216.4900000000002</v>
      </c>
      <c r="BG5" s="18">
        <f t="shared" si="1"/>
        <v>2099.0100000000002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1839</v>
      </c>
      <c r="B6" s="2169"/>
      <c r="C6" s="2169"/>
      <c r="D6" s="2170"/>
      <c r="E6" s="16">
        <f>H6+AC6+AT6</f>
        <v>2179.2800000000002</v>
      </c>
      <c r="F6" s="16" t="s">
        <v>1</v>
      </c>
      <c r="G6" s="16" t="s">
        <v>2</v>
      </c>
      <c r="H6" s="20">
        <f>SUMIF(I$12:AB$12,"总值",I6:AB6)</f>
        <v>2179.2800000000002</v>
      </c>
      <c r="I6" s="16">
        <f t="shared" ref="I6:AB6" si="2">ROUND($A$3*I5/$B$3,2)</f>
        <v>246.21</v>
      </c>
      <c r="J6" s="16">
        <f t="shared" si="2"/>
        <v>0</v>
      </c>
      <c r="K6" s="16">
        <f t="shared" si="2"/>
        <v>1165.98</v>
      </c>
      <c r="L6" s="16">
        <f t="shared" si="2"/>
        <v>0</v>
      </c>
      <c r="M6" s="16">
        <f t="shared" si="2"/>
        <v>16.899999999999999</v>
      </c>
      <c r="N6" s="16">
        <f t="shared" si="2"/>
        <v>0</v>
      </c>
      <c r="O6" s="16">
        <f t="shared" si="2"/>
        <v>205.89</v>
      </c>
      <c r="P6" s="16">
        <f t="shared" si="2"/>
        <v>0</v>
      </c>
      <c r="Q6" s="16">
        <f t="shared" si="2"/>
        <v>329.36</v>
      </c>
      <c r="R6" s="16">
        <f t="shared" si="2"/>
        <v>0</v>
      </c>
      <c r="S6" s="16">
        <f t="shared" si="2"/>
        <v>214.94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1839</v>
      </c>
      <c r="AW6" s="2169"/>
      <c r="AX6" s="2169"/>
      <c r="AY6" s="21">
        <f>IF(AY3&gt;0,AY3,ROUND($A$3*AZ5/$B$3,2))</f>
        <v>2179.29</v>
      </c>
      <c r="AZ6" s="16" t="s">
        <v>3</v>
      </c>
      <c r="BA6" s="16">
        <f>ROUND($AY$6*BA5/$AZ$5,2)</f>
        <v>2179.29</v>
      </c>
      <c r="BB6" s="16">
        <f>ROUND($AY$6*BB5/$AZ$5,2)</f>
        <v>246.21</v>
      </c>
      <c r="BC6" s="16">
        <f t="shared" ref="BC6:BH6" si="4">ROUND($AY$6*BC5/$AZ$5,2)</f>
        <v>1165.98</v>
      </c>
      <c r="BD6" s="16">
        <f t="shared" si="4"/>
        <v>16.899999999999999</v>
      </c>
      <c r="BE6" s="16">
        <f t="shared" si="4"/>
        <v>205.89</v>
      </c>
      <c r="BF6" s="16">
        <f t="shared" si="4"/>
        <v>329.36</v>
      </c>
      <c r="BG6" s="16">
        <f t="shared" si="4"/>
        <v>214.94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1847</v>
      </c>
      <c r="AV7" s="23" t="s">
        <v>1848</v>
      </c>
      <c r="AW7" s="2161" t="s">
        <v>1849</v>
      </c>
      <c r="AX7" s="23" t="s">
        <v>1842</v>
      </c>
      <c r="AY7" s="1798"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3"/>
      <c r="K8" s="1813"/>
      <c r="L8" s="1813"/>
      <c r="M8" s="1813"/>
      <c r="N8" s="1813"/>
      <c r="O8" s="1813"/>
      <c r="P8" s="1813"/>
      <c r="Q8" s="1813"/>
      <c r="R8" s="1813"/>
      <c r="S8" s="1813"/>
      <c r="T8" s="1813"/>
      <c r="U8" s="1813"/>
      <c r="V8" s="2181"/>
      <c r="W8" s="1813"/>
      <c r="X8" s="1813"/>
      <c r="Y8" s="1813"/>
      <c r="Z8" s="1813"/>
      <c r="AA8" s="2181"/>
      <c r="AB8" s="2182"/>
      <c r="AC8" s="977" t="s">
        <v>1853</v>
      </c>
      <c r="AD8" s="2183"/>
      <c r="AE8" s="2175"/>
      <c r="AF8" s="1813"/>
      <c r="AG8" s="1813"/>
      <c r="AH8" s="1813"/>
      <c r="AI8" s="1813"/>
      <c r="AJ8" s="1813"/>
      <c r="AK8" s="1813"/>
      <c r="AL8" s="1813"/>
      <c r="AM8" s="1813"/>
      <c r="AN8" s="1813"/>
      <c r="AO8" s="1813"/>
      <c r="AP8" s="1813"/>
      <c r="AQ8" s="1813"/>
      <c r="AR8" s="1813"/>
      <c r="AS8" s="1813"/>
      <c r="AT8" s="1288" t="s">
        <v>1854</v>
      </c>
      <c r="AU8" s="2177" t="s">
        <v>1855</v>
      </c>
      <c r="AV8" s="1288"/>
      <c r="AW8" s="2160"/>
      <c r="AX8" s="1288"/>
      <c r="AY8" s="2161" t="s">
        <v>1856</v>
      </c>
      <c r="AZ8" s="1812" t="s">
        <v>1857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8"/>
      <c r="H9" s="2185" t="s">
        <v>1858</v>
      </c>
      <c r="I9" s="2186" t="s">
        <v>3035</v>
      </c>
      <c r="J9" s="977"/>
      <c r="K9" s="2186" t="s">
        <v>3035</v>
      </c>
      <c r="L9" s="977"/>
      <c r="M9" s="2186" t="s">
        <v>3036</v>
      </c>
      <c r="N9" s="977"/>
      <c r="O9" s="2186" t="s">
        <v>3036</v>
      </c>
      <c r="P9" s="977"/>
      <c r="Q9" s="2186" t="s">
        <v>3035</v>
      </c>
      <c r="R9" s="977"/>
      <c r="S9" s="2186" t="s">
        <v>3035</v>
      </c>
      <c r="T9" s="977"/>
      <c r="U9" s="2186"/>
      <c r="V9" s="977"/>
      <c r="W9" s="2186"/>
      <c r="X9" s="2187"/>
      <c r="Y9" s="2186"/>
      <c r="Z9" s="977"/>
      <c r="AA9" s="2186"/>
      <c r="AB9" s="977"/>
      <c r="AC9" s="2178" t="s">
        <v>1858</v>
      </c>
      <c r="AD9" s="15" t="s">
        <v>1859</v>
      </c>
      <c r="AE9" s="1294"/>
      <c r="AF9" s="15" t="s">
        <v>1860</v>
      </c>
      <c r="AG9" s="1294"/>
      <c r="AH9" s="15" t="s">
        <v>1859</v>
      </c>
      <c r="AI9" s="1294"/>
      <c r="AJ9" s="15" t="s">
        <v>1860</v>
      </c>
      <c r="AK9" s="1294"/>
      <c r="AL9" s="15" t="s">
        <v>1859</v>
      </c>
      <c r="AM9" s="1294"/>
      <c r="AN9" s="15" t="s">
        <v>1860</v>
      </c>
      <c r="AO9" s="1294"/>
      <c r="AP9" s="15" t="s">
        <v>1859</v>
      </c>
      <c r="AQ9" s="1294"/>
      <c r="AR9" s="15" t="s">
        <v>1860</v>
      </c>
      <c r="AS9" s="2188"/>
      <c r="AT9" s="2177"/>
      <c r="AU9" s="2177" t="s">
        <v>1861</v>
      </c>
      <c r="AV9" s="1288"/>
      <c r="AW9" s="2160"/>
      <c r="AX9" s="1288"/>
      <c r="AY9" s="28"/>
      <c r="AZ9" s="28" t="s">
        <v>1851</v>
      </c>
      <c r="BA9" s="2189" t="s">
        <v>1862</v>
      </c>
      <c r="BB9" s="2190"/>
      <c r="BC9" s="1334"/>
      <c r="BD9" s="1334"/>
      <c r="BE9" s="1334"/>
      <c r="BF9" s="1334"/>
      <c r="BG9" s="1334"/>
      <c r="BH9" s="1334"/>
      <c r="BI9" s="1334"/>
      <c r="BJ9" s="1334"/>
      <c r="BK9" s="2191"/>
      <c r="BL9" s="15" t="s">
        <v>1863</v>
      </c>
      <c r="BM9" s="1813"/>
      <c r="BN9" s="2180"/>
      <c r="BO9" s="1813"/>
      <c r="BP9" s="1813"/>
      <c r="BQ9" s="1813"/>
      <c r="BR9" s="1813"/>
      <c r="BS9" s="1813"/>
      <c r="BT9" s="26"/>
    </row>
    <row r="10" spans="1:72" s="2184" customFormat="1" ht="12.75">
      <c r="A10" s="2177"/>
      <c r="B10" s="2177"/>
      <c r="C10" s="2177"/>
      <c r="D10" s="2177"/>
      <c r="E10" s="2177"/>
      <c r="F10" s="2177"/>
      <c r="G10" s="1288"/>
      <c r="H10" s="28"/>
      <c r="I10" s="2186" t="s">
        <v>1369</v>
      </c>
      <c r="J10" s="977"/>
      <c r="K10" s="2192" t="s">
        <v>27</v>
      </c>
      <c r="L10" s="977"/>
      <c r="M10" s="2192" t="s">
        <v>3037</v>
      </c>
      <c r="N10" s="977"/>
      <c r="O10" s="2192" t="s">
        <v>27</v>
      </c>
      <c r="P10" s="977"/>
      <c r="Q10" s="2192" t="s">
        <v>1369</v>
      </c>
      <c r="R10" s="977"/>
      <c r="S10" s="2192" t="s">
        <v>27</v>
      </c>
      <c r="T10" s="977"/>
      <c r="U10" s="2192"/>
      <c r="V10" s="977"/>
      <c r="W10" s="2192"/>
      <c r="X10" s="977"/>
      <c r="Y10" s="2192"/>
      <c r="Z10" s="977"/>
      <c r="AA10" s="2192"/>
      <c r="AB10" s="977"/>
      <c r="AC10" s="1288"/>
      <c r="AD10" s="15" t="s">
        <v>1864</v>
      </c>
      <c r="AE10" s="2193"/>
      <c r="AF10" s="15" t="s">
        <v>1864</v>
      </c>
      <c r="AG10" s="2193"/>
      <c r="AH10" s="15" t="s">
        <v>1865</v>
      </c>
      <c r="AI10" s="2193"/>
      <c r="AJ10" s="15" t="s">
        <v>1865</v>
      </c>
      <c r="AK10" s="2193"/>
      <c r="AL10" s="15" t="s">
        <v>1866</v>
      </c>
      <c r="AM10" s="1294"/>
      <c r="AN10" s="15" t="s">
        <v>1866</v>
      </c>
      <c r="AO10" s="1294"/>
      <c r="AP10" s="15" t="s">
        <v>1867</v>
      </c>
      <c r="AQ10" s="1294"/>
      <c r="AR10" s="15" t="s">
        <v>1867</v>
      </c>
      <c r="AS10" s="1294"/>
      <c r="AT10" s="2177"/>
      <c r="AU10" s="2177"/>
      <c r="AV10" s="1288"/>
      <c r="AW10" s="2160"/>
      <c r="AX10" s="1288"/>
      <c r="AY10" s="28"/>
      <c r="AZ10" s="28"/>
      <c r="BA10" s="2194" t="s">
        <v>1858</v>
      </c>
      <c r="BB10" s="2195"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1858</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8"/>
      <c r="H11" s="2194"/>
      <c r="I11" s="2197" t="s">
        <v>3039</v>
      </c>
      <c r="J11" s="2198"/>
      <c r="K11" s="2197" t="s">
        <v>3008</v>
      </c>
      <c r="L11" s="2198"/>
      <c r="M11" s="2197" t="s">
        <v>3016</v>
      </c>
      <c r="N11" s="2198"/>
      <c r="O11" s="2197" t="s">
        <v>3015</v>
      </c>
      <c r="P11" s="2198"/>
      <c r="Q11" s="2197" t="s">
        <v>3041</v>
      </c>
      <c r="R11" s="2198"/>
      <c r="S11" s="2197" t="s">
        <v>3404</v>
      </c>
      <c r="T11" s="2198"/>
      <c r="U11" s="2197"/>
      <c r="V11" s="2198"/>
      <c r="W11" s="2197"/>
      <c r="X11" s="2198"/>
      <c r="Y11" s="2197"/>
      <c r="Z11" s="2198"/>
      <c r="AA11" s="2197"/>
      <c r="AB11" s="2198"/>
      <c r="AC11" s="1288"/>
      <c r="AD11" s="2199" t="s">
        <v>1868</v>
      </c>
      <c r="AE11" s="1814"/>
      <c r="AF11" s="2199" t="s">
        <v>1868</v>
      </c>
      <c r="AG11" s="1814"/>
      <c r="AH11" s="2199" t="s">
        <v>1869</v>
      </c>
      <c r="AI11" s="2200"/>
      <c r="AJ11" s="2199" t="s">
        <v>1869</v>
      </c>
      <c r="AK11" s="1814"/>
      <c r="AL11" s="1812"/>
      <c r="AM11" s="1814"/>
      <c r="AN11" s="1812"/>
      <c r="AO11" s="1814"/>
      <c r="AP11" s="1812"/>
      <c r="AQ11" s="1814"/>
      <c r="AR11" s="1812"/>
      <c r="AS11" s="1814"/>
      <c r="AT11" s="2160"/>
      <c r="AU11" s="2177"/>
      <c r="AV11" s="1288"/>
      <c r="AW11" s="2160"/>
      <c r="AX11" s="1288"/>
      <c r="AY11" s="28"/>
      <c r="AZ11" s="28"/>
      <c r="BA11" s="28"/>
      <c r="BB11" s="2182" t="str">
        <f>I10</f>
        <v>商业</v>
      </c>
      <c r="BC11" s="2182" t="str">
        <f>K10</f>
        <v>办公</v>
      </c>
      <c r="BD11" s="2182" t="str">
        <f>M10</f>
        <v>车库</v>
      </c>
      <c r="BE11" s="2182" t="str">
        <f>O10</f>
        <v>办公</v>
      </c>
      <c r="BF11" s="2182" t="str">
        <f>Q10</f>
        <v>商业</v>
      </c>
      <c r="BG11" s="2182" t="str">
        <f>S10</f>
        <v>办公</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797" t="s">
        <v>1871</v>
      </c>
      <c r="W12" s="11" t="s">
        <v>1870</v>
      </c>
      <c r="X12" s="11" t="s">
        <v>1871</v>
      </c>
      <c r="Y12" s="11" t="s">
        <v>1870</v>
      </c>
      <c r="Z12" s="11" t="s">
        <v>1871</v>
      </c>
      <c r="AA12" s="11" t="s">
        <v>1870</v>
      </c>
      <c r="AB12" s="11" t="s">
        <v>1871</v>
      </c>
      <c r="AC12" s="2204"/>
      <c r="AD12" s="1801"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1层商业用房</v>
      </c>
      <c r="BC12" s="2207" t="str">
        <f>K11</f>
        <v>办公用房</v>
      </c>
      <c r="BD12" s="2207" t="str">
        <f>M11</f>
        <v>地下车库用房</v>
      </c>
      <c r="BE12" s="2182" t="str">
        <f>O11</f>
        <v>地下办公用房</v>
      </c>
      <c r="BF12" s="2182" t="str">
        <f>Q11</f>
        <v>2层商业用房</v>
      </c>
      <c r="BG12" s="2182" t="str">
        <f>S11</f>
        <v>三层办公用房</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3034</v>
      </c>
      <c r="E13" s="16">
        <f>IF($C$3="是",ROUND($A$3*G13/$B$3,2),ROUND($A$3*(G13-AT13)/$B$3,2))</f>
        <v>2179.29</v>
      </c>
      <c r="F13" s="32"/>
      <c r="G13" s="33">
        <f>H13+AC13+AT13</f>
        <v>21282.42</v>
      </c>
      <c r="H13" s="20">
        <f>SUMIF(I$12:AB$12,"总值",I13:AB13)</f>
        <v>21282.42</v>
      </c>
      <c r="I13" s="2209">
        <f>面积表!E28</f>
        <v>2404.44</v>
      </c>
      <c r="J13" s="2209"/>
      <c r="K13" s="2209">
        <f>面积表!E27-面积表!E14-S13</f>
        <v>11386.72</v>
      </c>
      <c r="L13" s="2209"/>
      <c r="M13" s="2209">
        <f>面积表!E42</f>
        <v>165.07999999999998</v>
      </c>
      <c r="N13" s="2209"/>
      <c r="O13" s="2209">
        <f>面积表!E14</f>
        <v>2010.68</v>
      </c>
      <c r="P13" s="2209"/>
      <c r="Q13" s="2209">
        <f>面积表!E29+面积表!E30</f>
        <v>3216.4900000000002</v>
      </c>
      <c r="R13" s="2209"/>
      <c r="S13" s="2209">
        <f>面积表!E3</f>
        <v>2099.0100000000002</v>
      </c>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1">
        <f>ROUND($AY$6*AZ13/$AZ$5,2)</f>
        <v>2179.29</v>
      </c>
      <c r="AZ13" s="16">
        <f>BA13+BL13</f>
        <v>21282.42</v>
      </c>
      <c r="BA13" s="16">
        <f>SUM(BB13:BK13)</f>
        <v>21282.42</v>
      </c>
      <c r="BB13" s="16">
        <f>IF($D13="是",I13-J13,0)</f>
        <v>2404.44</v>
      </c>
      <c r="BC13" s="16">
        <f>IF($D13="是",K13-L13,0)</f>
        <v>11386.72</v>
      </c>
      <c r="BD13" s="16">
        <f>IF($D13="是",M13-N13,0)</f>
        <v>165.07999999999998</v>
      </c>
      <c r="BE13" s="16">
        <f>IF($D13="是",O13-P13,0)</f>
        <v>2010.68</v>
      </c>
      <c r="BF13" s="16">
        <f>IF($D13="是",Q13-R13,0)</f>
        <v>3216.4900000000002</v>
      </c>
      <c r="BG13" s="16">
        <f>IF($D13="是",S13-T13,0)</f>
        <v>2099.0100000000002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1896</v>
      </c>
      <c r="B1" s="1388"/>
      <c r="C1" s="1388"/>
      <c r="D1" s="1388"/>
      <c r="E1" s="1388"/>
      <c r="F1" s="1388"/>
      <c r="G1" s="1388"/>
      <c r="H1" s="1388"/>
      <c r="I1" s="1388"/>
      <c r="J1" s="1388"/>
      <c r="K1" s="1388"/>
      <c r="L1" s="1388"/>
      <c r="M1" s="1388"/>
      <c r="N1" s="1388"/>
      <c r="O1" s="1388"/>
      <c r="P1" s="1388"/>
    </row>
    <row r="2" spans="1:16" ht="15">
      <c r="A2" s="3169" t="s">
        <v>1897</v>
      </c>
      <c r="B2" s="3169"/>
      <c r="C2" s="3169"/>
      <c r="D2" s="963" t="s">
        <v>1874</v>
      </c>
      <c r="E2" s="2222" t="s">
        <v>1875</v>
      </c>
      <c r="F2" s="1388"/>
      <c r="G2" s="2223"/>
      <c r="H2" s="2224"/>
      <c r="I2" s="2225" t="s">
        <v>1898</v>
      </c>
      <c r="J2" s="1388"/>
      <c r="K2" s="1388"/>
      <c r="L2" s="1388"/>
      <c r="M2" s="1388"/>
      <c r="N2" s="1423"/>
      <c r="O2" s="1388"/>
      <c r="P2" s="1388"/>
    </row>
    <row r="3" spans="1:16" ht="15.75" thickBot="1">
      <c r="A3" s="3170" t="s">
        <v>1872</v>
      </c>
      <c r="B3" s="3170"/>
      <c r="C3" s="3170"/>
      <c r="D3" s="46">
        <f>'数据-基础表'!AY6</f>
        <v>2179.29</v>
      </c>
      <c r="E3" s="46">
        <f>'数据-基础表'!AZ5</f>
        <v>21282.42</v>
      </c>
      <c r="F3" s="1388"/>
      <c r="G3" s="1395"/>
      <c r="H3" s="1243" t="s">
        <v>1873</v>
      </c>
      <c r="I3" s="55">
        <f>ROUND('数据-基础表'!B3/'数据-基础表'!A3,2)</f>
        <v>9.77</v>
      </c>
      <c r="J3" s="1388"/>
      <c r="K3" s="1388"/>
      <c r="L3" s="1388"/>
      <c r="M3" s="1388"/>
      <c r="N3" s="1423"/>
      <c r="O3" s="1388"/>
      <c r="P3" s="1388"/>
    </row>
    <row r="4" spans="1:16" ht="15">
      <c r="A4" s="3171"/>
      <c r="B4" s="3172"/>
      <c r="C4" s="3173"/>
      <c r="D4" s="2226" t="s">
        <v>1874</v>
      </c>
      <c r="E4" s="2227" t="s">
        <v>1875</v>
      </c>
      <c r="F4" s="1388"/>
      <c r="G4" s="2228" t="s">
        <v>1899</v>
      </c>
      <c r="H4" s="1243" t="s">
        <v>1880</v>
      </c>
      <c r="I4" s="55">
        <f>ROUND(SUMIF('数据-基础表'!I9:AS9,"地上",'数据-基础表'!I5:AS5)/'数据-基础表'!A3,2)</f>
        <v>8.77</v>
      </c>
      <c r="J4" s="1388"/>
      <c r="K4" s="1388"/>
      <c r="L4" s="1388"/>
      <c r="M4" s="1388"/>
      <c r="N4" s="1423"/>
      <c r="O4" s="1388"/>
      <c r="P4" s="1388"/>
    </row>
    <row r="5" spans="1:16">
      <c r="A5" s="47" t="s">
        <v>1876</v>
      </c>
      <c r="B5" s="3174" t="s">
        <v>1877</v>
      </c>
      <c r="C5" s="3174"/>
      <c r="D5" s="48">
        <f>ROUND($D$3*E5/$E$3,2)</f>
        <v>0</v>
      </c>
      <c r="E5" s="49">
        <f>SUMIF('数据-基础表'!$11:$11,"住宅",'数据-基础表'!$5:$5)</f>
        <v>0</v>
      </c>
      <c r="F5" s="1388"/>
      <c r="G5" s="1395"/>
      <c r="H5" s="1243" t="s">
        <v>1873</v>
      </c>
      <c r="I5" s="55">
        <f>ROUND(E31/D31,2)</f>
        <v>9.77</v>
      </c>
      <c r="J5" s="1388"/>
      <c r="K5" s="1388"/>
      <c r="L5" s="1388"/>
      <c r="M5" s="1388"/>
      <c r="N5" s="1388"/>
      <c r="O5" s="1388"/>
      <c r="P5" s="1388"/>
    </row>
    <row r="6" spans="1:16" ht="15" thickBot="1">
      <c r="A6" s="2229"/>
      <c r="B6" s="3174" t="s">
        <v>1878</v>
      </c>
      <c r="C6" s="3174"/>
      <c r="D6" s="48">
        <f>ROUND($D$3*E6/$E$3,2)</f>
        <v>2179.29</v>
      </c>
      <c r="E6" s="49">
        <f>E3-E5</f>
        <v>21282.42</v>
      </c>
      <c r="F6" s="1388"/>
      <c r="G6" s="2230" t="s">
        <v>1879</v>
      </c>
      <c r="H6" s="1395" t="s">
        <v>1880</v>
      </c>
      <c r="I6" s="935">
        <f>ROUND(F31/D31,2)</f>
        <v>8.77</v>
      </c>
      <c r="J6" s="1388"/>
      <c r="K6" s="1388"/>
      <c r="L6" s="1388"/>
      <c r="M6" s="1388"/>
      <c r="N6" s="1388"/>
      <c r="O6" s="1388"/>
      <c r="P6" s="1388"/>
    </row>
    <row r="7" spans="1:16" ht="15">
      <c r="A7" s="3166"/>
      <c r="B7" s="3167"/>
      <c r="C7" s="3168"/>
      <c r="D7" s="2226" t="s">
        <v>1874</v>
      </c>
      <c r="E7" s="2231" t="s">
        <v>1881</v>
      </c>
      <c r="F7" s="1388"/>
      <c r="G7" s="2223" t="s">
        <v>1882</v>
      </c>
      <c r="H7" s="64"/>
      <c r="I7" s="420">
        <f>ROUND((预评函结果表!C6+预评函结果表!C7)/(预评函结果表!D6+预评函结果表!D7),2)</f>
        <v>9.77</v>
      </c>
      <c r="J7" s="1388"/>
      <c r="K7" s="1388"/>
      <c r="L7" s="1388"/>
      <c r="M7" s="1388"/>
      <c r="N7" s="1388"/>
      <c r="O7" s="1388"/>
      <c r="P7" s="1388"/>
    </row>
    <row r="8" spans="1:16">
      <c r="A8" s="47" t="s">
        <v>1883</v>
      </c>
      <c r="B8" s="50" t="s">
        <v>1884</v>
      </c>
      <c r="C8" s="48" t="s">
        <v>1885</v>
      </c>
      <c r="D8" s="48">
        <f t="shared" ref="D8:D15" si="0">ROUND($D$3*E8/$E$3,2)</f>
        <v>1956.5</v>
      </c>
      <c r="E8" s="51">
        <f>SUMIF('数据-基础表'!BB10:BK10,"地上",'数据-基础表'!BB5:BK5)</f>
        <v>19106.660000000003</v>
      </c>
      <c r="F8" s="1388"/>
      <c r="G8" s="2232"/>
      <c r="H8" s="2232"/>
      <c r="I8" s="1388"/>
      <c r="J8" s="1388"/>
      <c r="K8" s="1388"/>
      <c r="L8" s="1388"/>
      <c r="M8" s="1388"/>
      <c r="N8" s="1388"/>
      <c r="O8" s="1388"/>
      <c r="P8" s="1388"/>
    </row>
    <row r="9" spans="1:16">
      <c r="A9" s="2233"/>
      <c r="B9" s="2234"/>
      <c r="C9" s="48" t="s">
        <v>1886</v>
      </c>
      <c r="D9" s="48">
        <f t="shared" si="0"/>
        <v>0</v>
      </c>
      <c r="E9" s="52">
        <v>0</v>
      </c>
      <c r="F9" s="1388"/>
      <c r="G9" s="2232"/>
      <c r="H9" s="2232"/>
      <c r="I9" s="1388"/>
      <c r="J9" s="1388"/>
      <c r="K9" s="1388"/>
      <c r="L9" s="1388"/>
      <c r="M9" s="1388"/>
      <c r="N9" s="1388"/>
      <c r="O9" s="1388"/>
      <c r="P9" s="1388"/>
    </row>
    <row r="10" spans="1:16">
      <c r="A10" s="2233"/>
      <c r="B10" s="2234"/>
      <c r="C10" s="48" t="s">
        <v>1894</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1887</v>
      </c>
      <c r="D11" s="48">
        <f t="shared" si="0"/>
        <v>205.89</v>
      </c>
      <c r="E11" s="51">
        <f>SUMPRODUCT(('数据-基础表'!BB10:BK10="地下")*('数据-基础表'!BB11:BK11="办公")*('数据-基础表'!BB5:BK5))+'数据-基础表'!BP5</f>
        <v>2010.68</v>
      </c>
      <c r="F11" s="1388"/>
      <c r="G11" s="2232"/>
      <c r="H11" s="2232"/>
      <c r="I11" s="1388"/>
      <c r="J11" s="1388"/>
      <c r="K11" s="1388"/>
      <c r="L11" s="1388"/>
      <c r="M11" s="1388"/>
      <c r="N11" s="1388"/>
      <c r="O11" s="1388"/>
      <c r="P11" s="1388"/>
    </row>
    <row r="12" spans="1:16">
      <c r="A12" s="2233"/>
      <c r="B12" s="2234"/>
      <c r="C12" s="48" t="s">
        <v>1888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1889</v>
      </c>
      <c r="D13" s="48">
        <f t="shared" si="0"/>
        <v>16.899999999999999</v>
      </c>
      <c r="E13" s="51">
        <f>SUMPRODUCT(('数据-基础表'!BB10:BK10="地下")*('数据-基础表'!BB11:BK11="车库")*('数据-基础表'!BB5:BK5))</f>
        <v>165.07999999999998</v>
      </c>
      <c r="F13" s="1388"/>
      <c r="G13" s="2232"/>
      <c r="H13" s="2232"/>
      <c r="I13" s="1388"/>
      <c r="J13" s="1388"/>
      <c r="K13" s="1388"/>
      <c r="L13" s="1388"/>
      <c r="M13" s="1388"/>
      <c r="N13" s="1388"/>
      <c r="O13" s="1388"/>
      <c r="P13" s="1388"/>
    </row>
    <row r="14" spans="1:16">
      <c r="A14" s="2233"/>
      <c r="B14" s="2234"/>
      <c r="C14" s="48" t="s">
        <v>1900</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1895</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1890</v>
      </c>
      <c r="D16" s="50">
        <f>SUM(D8:D15)</f>
        <v>2179.29</v>
      </c>
      <c r="E16" s="53">
        <f>SUM(E8:E15)</f>
        <v>21282.420000000006</v>
      </c>
      <c r="F16" s="1388"/>
      <c r="G16" s="2232"/>
      <c r="H16" s="2235" t="s">
        <v>1901</v>
      </c>
      <c r="I16" s="2236"/>
      <c r="J16" s="1388"/>
      <c r="K16" s="3163" t="s">
        <v>1901</v>
      </c>
      <c r="L16" s="3164"/>
      <c r="M16" s="3164"/>
      <c r="N16" s="3164"/>
      <c r="O16" s="3164"/>
      <c r="P16" s="3165"/>
    </row>
    <row r="17" spans="1:19" ht="15">
      <c r="A17" s="2237" t="s">
        <v>1902</v>
      </c>
      <c r="B17" s="2238" t="s">
        <v>1903</v>
      </c>
      <c r="C17" s="2239" t="s">
        <v>1904</v>
      </c>
      <c r="D17" s="2240" t="s">
        <v>1892</v>
      </c>
      <c r="E17" s="2241" t="s">
        <v>1893</v>
      </c>
      <c r="F17" s="2242"/>
      <c r="G17" s="2243"/>
      <c r="H17" s="2244" t="s">
        <v>1905</v>
      </c>
      <c r="I17" s="2245" t="s">
        <v>3352</v>
      </c>
      <c r="J17" s="1388"/>
      <c r="K17" s="3160" t="s">
        <v>1906</v>
      </c>
      <c r="L17" s="3161"/>
      <c r="M17" s="3162"/>
      <c r="N17" s="3160" t="s">
        <v>1907</v>
      </c>
      <c r="O17" s="3161"/>
      <c r="P17" s="3162"/>
      <c r="R17" s="2223" t="s">
        <v>1908</v>
      </c>
      <c r="S17" s="64"/>
    </row>
    <row r="18" spans="1:19" ht="15">
      <c r="A18" s="2233"/>
      <c r="B18" s="2246"/>
      <c r="C18" s="2247"/>
      <c r="D18" s="2248"/>
      <c r="E18" s="2249" t="s">
        <v>1909</v>
      </c>
      <c r="F18" s="2250" t="s">
        <v>1910</v>
      </c>
      <c r="G18" s="2251" t="s">
        <v>1911</v>
      </c>
      <c r="H18" s="1258" t="s">
        <v>1912</v>
      </c>
      <c r="I18" s="2252" t="s">
        <v>1913</v>
      </c>
      <c r="J18" s="1388"/>
      <c r="K18" s="1258" t="s">
        <v>1914</v>
      </c>
      <c r="L18" s="2253" t="s">
        <v>1915</v>
      </c>
      <c r="M18" s="1042" t="s">
        <v>1916</v>
      </c>
      <c r="N18" s="1258" t="s">
        <v>1914</v>
      </c>
      <c r="O18" s="2253" t="s">
        <v>1915</v>
      </c>
      <c r="P18" s="1042" t="s">
        <v>1916</v>
      </c>
      <c r="R18" s="1243" t="s">
        <v>1917</v>
      </c>
      <c r="S18" s="1243" t="s">
        <v>1918</v>
      </c>
    </row>
    <row r="19" spans="1:19">
      <c r="A19" s="2254"/>
      <c r="B19" s="50" t="s">
        <v>1891</v>
      </c>
      <c r="C19" s="2255" t="str">
        <f>定义!A3</f>
        <v>办公用房</v>
      </c>
      <c r="D19" s="48">
        <f>ROUND($D$3*E19/$E$3,2)</f>
        <v>1165.98</v>
      </c>
      <c r="E19" s="56">
        <f t="shared" ref="E19:E26" si="1">SUM(F19:G19)</f>
        <v>11386.72</v>
      </c>
      <c r="F19" s="57">
        <f>'数据-基础表'!K13</f>
        <v>11386.72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1165.98</v>
      </c>
      <c r="S19" s="1244">
        <f t="shared" si="5"/>
        <v>11386.72</v>
      </c>
    </row>
    <row r="20" spans="1:19">
      <c r="A20" s="2258"/>
      <c r="B20" s="50" t="s">
        <v>1919</v>
      </c>
      <c r="C20" s="2968" t="str">
        <f>定义!A4</f>
        <v>1层商业用房</v>
      </c>
      <c r="D20" s="48">
        <f t="shared" ref="D20:D26" si="6">ROUND($D$3*E20/$E$3,2)</f>
        <v>246.21</v>
      </c>
      <c r="E20" s="56">
        <f t="shared" si="1"/>
        <v>2404.44</v>
      </c>
      <c r="F20" s="57">
        <f>'数据-基础表'!I13</f>
        <v>2404.44</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246.21</v>
      </c>
      <c r="S20" s="1244">
        <f t="shared" si="5"/>
        <v>2404.44</v>
      </c>
    </row>
    <row r="21" spans="1:19">
      <c r="A21" s="2258"/>
      <c r="B21" s="50" t="s">
        <v>1919</v>
      </c>
      <c r="C21" s="2255" t="str">
        <f>定义!A5</f>
        <v>2层商业用房</v>
      </c>
      <c r="D21" s="48">
        <f t="shared" si="6"/>
        <v>329.36</v>
      </c>
      <c r="E21" s="56">
        <f t="shared" si="1"/>
        <v>3216.4900000000002</v>
      </c>
      <c r="F21" s="57">
        <f>'数据-基础表'!Q13</f>
        <v>3216.4900000000002</v>
      </c>
      <c r="G21" s="58"/>
      <c r="H21" s="723">
        <f t="shared" si="7"/>
        <v>0</v>
      </c>
      <c r="I21" s="51">
        <f t="shared" si="2"/>
        <v>0</v>
      </c>
      <c r="J21" s="1388"/>
      <c r="K21" s="1387">
        <f t="shared" si="3"/>
        <v>0</v>
      </c>
      <c r="L21" s="1243">
        <f t="shared" si="4"/>
        <v>0</v>
      </c>
      <c r="M21" s="1399">
        <f t="shared" si="8"/>
        <v>0</v>
      </c>
      <c r="N21" s="2256"/>
      <c r="O21" s="2257"/>
      <c r="P21" s="1399">
        <f t="shared" si="9"/>
        <v>0</v>
      </c>
      <c r="R21" s="1243">
        <f t="shared" si="5"/>
        <v>329.36</v>
      </c>
      <c r="S21" s="1244">
        <f t="shared" si="5"/>
        <v>3216.4900000000002</v>
      </c>
    </row>
    <row r="22" spans="1:19">
      <c r="A22" s="2258"/>
      <c r="B22" s="50" t="s">
        <v>1919</v>
      </c>
      <c r="C22" s="60" t="str">
        <f>定义!A6</f>
        <v>地下车库用房</v>
      </c>
      <c r="D22" s="48">
        <f t="shared" si="6"/>
        <v>16.899999999999999</v>
      </c>
      <c r="E22" s="56">
        <f t="shared" si="1"/>
        <v>165.07999999999998</v>
      </c>
      <c r="F22" s="61"/>
      <c r="G22" s="62">
        <f>'数据-基础表'!M13</f>
        <v>165.07999999999998</v>
      </c>
      <c r="H22" s="723">
        <f t="shared" si="7"/>
        <v>0</v>
      </c>
      <c r="I22" s="51">
        <f t="shared" si="2"/>
        <v>0</v>
      </c>
      <c r="J22" s="1388"/>
      <c r="K22" s="1387">
        <f t="shared" si="3"/>
        <v>0</v>
      </c>
      <c r="L22" s="1243">
        <f t="shared" si="4"/>
        <v>0</v>
      </c>
      <c r="M22" s="1399">
        <f t="shared" si="8"/>
        <v>0</v>
      </c>
      <c r="N22" s="2256"/>
      <c r="O22" s="2257"/>
      <c r="P22" s="1399">
        <f t="shared" si="9"/>
        <v>0</v>
      </c>
      <c r="R22" s="1243">
        <f t="shared" si="5"/>
        <v>16.899999999999999</v>
      </c>
      <c r="S22" s="1244">
        <f t="shared" si="5"/>
        <v>165.07999999999998</v>
      </c>
    </row>
    <row r="23" spans="1:19">
      <c r="A23" s="2258"/>
      <c r="B23" s="50" t="s">
        <v>1919</v>
      </c>
      <c r="C23" s="60" t="str">
        <f>定义!A7</f>
        <v>地下办公用房</v>
      </c>
      <c r="D23" s="48">
        <f>ROUND($D$3*E23/$E$3,2)</f>
        <v>205.89</v>
      </c>
      <c r="E23" s="56">
        <f>SUM(F23:G23)</f>
        <v>2010.68</v>
      </c>
      <c r="F23" s="61"/>
      <c r="G23" s="62">
        <f>'数据-基础表'!O13</f>
        <v>2010.68</v>
      </c>
      <c r="H23" s="723">
        <f>ROUND($D$3*I23/$E$3,2)</f>
        <v>0</v>
      </c>
      <c r="I23" s="51">
        <f t="shared" si="2"/>
        <v>0</v>
      </c>
      <c r="J23" s="1388"/>
      <c r="K23" s="1387">
        <f t="shared" si="3"/>
        <v>0</v>
      </c>
      <c r="L23" s="1243">
        <f t="shared" si="4"/>
        <v>0</v>
      </c>
      <c r="M23" s="1399">
        <f t="shared" si="8"/>
        <v>0</v>
      </c>
      <c r="N23" s="2256"/>
      <c r="O23" s="2257"/>
      <c r="P23" s="1399">
        <f t="shared" si="9"/>
        <v>0</v>
      </c>
      <c r="R23" s="1243">
        <f t="shared" si="5"/>
        <v>205.89</v>
      </c>
      <c r="S23" s="1244">
        <f t="shared" si="5"/>
        <v>2010.68</v>
      </c>
    </row>
    <row r="24" spans="1:19">
      <c r="A24" s="2258"/>
      <c r="B24" s="50" t="s">
        <v>1919</v>
      </c>
      <c r="C24" s="60" t="str">
        <f>定义!A8</f>
        <v>三层办公用房</v>
      </c>
      <c r="D24" s="48">
        <f>ROUND($D$3*E24/$E$3,2)</f>
        <v>214.94</v>
      </c>
      <c r="E24" s="56">
        <f>SUM(F24:G24)</f>
        <v>2099.0100000000002</v>
      </c>
      <c r="F24" s="61">
        <f>'数据-基础表'!S13</f>
        <v>2099.0100000000002</v>
      </c>
      <c r="G24" s="62"/>
      <c r="H24" s="723">
        <f>ROUND($D$3*I24/$E$3,2)</f>
        <v>0</v>
      </c>
      <c r="I24" s="51">
        <f t="shared" si="2"/>
        <v>0</v>
      </c>
      <c r="J24" s="1388"/>
      <c r="K24" s="1387">
        <f t="shared" si="3"/>
        <v>0</v>
      </c>
      <c r="L24" s="1243">
        <f t="shared" si="4"/>
        <v>0</v>
      </c>
      <c r="M24" s="1399">
        <f t="shared" si="8"/>
        <v>0</v>
      </c>
      <c r="N24" s="2256"/>
      <c r="O24" s="2257"/>
      <c r="P24" s="1399">
        <f t="shared" si="9"/>
        <v>0</v>
      </c>
      <c r="R24" s="1243">
        <f t="shared" si="5"/>
        <v>214.94</v>
      </c>
      <c r="S24" s="1244">
        <f t="shared" si="5"/>
        <v>2099.0100000000002</v>
      </c>
    </row>
    <row r="25" spans="1:19">
      <c r="A25" s="2258"/>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9.25" thickBot="1">
      <c r="A27" s="2258"/>
      <c r="B27" s="48"/>
      <c r="C27" s="2261" t="s">
        <v>1920</v>
      </c>
      <c r="D27" s="1389">
        <f>SUM(D19:D26)</f>
        <v>2179.2800000000002</v>
      </c>
      <c r="E27" s="1390">
        <f>IF(SUM(E19:E26)='数据-基础表'!BA5,SUM(E19:E26),IF(F27="地上面积有误","面积有误","地下面积有误"))</f>
        <v>21282.420000000006</v>
      </c>
      <c r="F27" s="1389">
        <f>IF(SUM(F19:F26)=E8,SUM(F19:F26),"地上面积有误")</f>
        <v>19106.660000000003</v>
      </c>
      <c r="G27" s="1391">
        <f>SUM(G19:G26)</f>
        <v>2175.7600000000002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t="str">
        <f>IF(SUM(R19:R26)=$D$3,SUM(R19:R26),SUM(R19:R26)&amp;"误差"&amp;ROUND(SUM(R19:R26)-$D$3,2))</f>
        <v>2179.28误差-0.01</v>
      </c>
      <c r="S27" s="1243">
        <f>IF(SUM(S19:S26)=$E$3,SUM(S19:S26),SUM(S19:S26)&amp;"误差"&amp;ROUND(SUM(S19:S26)-E3,2))</f>
        <v>21282.420000000006</v>
      </c>
    </row>
    <row r="28" spans="1:19">
      <c r="A28" s="2258"/>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1921</v>
      </c>
      <c r="C29" s="2262"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1924</v>
      </c>
      <c r="D31" s="729">
        <f>D27+D30</f>
        <v>2179.2800000000002</v>
      </c>
      <c r="E31" s="729">
        <f>E27+E30</f>
        <v>21282.420000000006</v>
      </c>
      <c r="F31" s="730">
        <f>F27+F30</f>
        <v>19106.660000000003</v>
      </c>
      <c r="G31" s="731">
        <f>G27+G30</f>
        <v>2175.7600000000002</v>
      </c>
      <c r="H31" s="1388"/>
      <c r="I31" s="1388"/>
      <c r="J31" s="1388"/>
      <c r="K31" s="1388"/>
      <c r="L31" s="1388"/>
      <c r="M31" s="1388"/>
      <c r="N31" s="1388"/>
      <c r="O31" s="1388"/>
      <c r="P31" s="1388"/>
    </row>
    <row r="32" spans="1:19">
      <c r="A32" s="2228"/>
      <c r="B32" s="2228" t="s">
        <v>1925</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1926</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1" t="s">
        <v>1927</v>
      </c>
      <c r="B2" s="1262">
        <f>项目基本情况!D3</f>
        <v>43795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5"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8" t="s">
        <v>1928</v>
      </c>
      <c r="B4" s="2276"/>
      <c r="C4" s="2277"/>
      <c r="D4" s="2278"/>
      <c r="E4" s="2277" t="s">
        <v>1929</v>
      </c>
      <c r="F4" s="2277"/>
      <c r="G4" s="2277"/>
      <c r="H4" s="2277"/>
      <c r="I4" s="2277"/>
      <c r="J4" s="2279"/>
      <c r="K4" s="2280"/>
      <c r="L4" s="2281"/>
      <c r="M4" s="2277"/>
      <c r="N4" s="2277" t="s">
        <v>1930</v>
      </c>
      <c r="O4" s="2277"/>
      <c r="P4" s="2277"/>
      <c r="Q4" s="2277"/>
      <c r="R4" s="2277"/>
      <c r="S4" s="2279"/>
      <c r="T4" s="2282" t="str">
        <f>'数据-汇总表'!I17</f>
        <v>按面积比例</v>
      </c>
      <c r="U4" s="2276" t="s">
        <v>1931</v>
      </c>
      <c r="V4" s="2277"/>
      <c r="W4" s="2277"/>
      <c r="X4" s="2277"/>
      <c r="Y4" s="2279"/>
      <c r="Z4" s="2239" t="s">
        <v>1932</v>
      </c>
      <c r="AA4" s="2239"/>
      <c r="AB4" s="2239"/>
      <c r="AC4" s="2239"/>
      <c r="AD4" s="2239"/>
      <c r="AE4" s="2237" t="s">
        <v>1933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42">
      <c r="A5" s="2284" t="s">
        <v>1934</v>
      </c>
      <c r="B5" s="2285" t="s">
        <v>1935</v>
      </c>
      <c r="C5" s="2286" t="s">
        <v>1936</v>
      </c>
      <c r="D5" s="2287" t="s">
        <v>1937</v>
      </c>
      <c r="E5" s="1264" t="s">
        <v>1938</v>
      </c>
      <c r="F5" s="2288" t="s">
        <v>1939</v>
      </c>
      <c r="G5" s="1264" t="s">
        <v>1940</v>
      </c>
      <c r="H5" s="1264" t="s">
        <v>1941</v>
      </c>
      <c r="I5" s="1264" t="s">
        <v>1942</v>
      </c>
      <c r="J5" s="2289" t="s">
        <v>1943</v>
      </c>
      <c r="K5" s="2290" t="s">
        <v>1944</v>
      </c>
      <c r="L5" s="2291" t="s">
        <v>1945</v>
      </c>
      <c r="M5" s="2292" t="s">
        <v>1946</v>
      </c>
      <c r="N5" s="2293" t="s">
        <v>3043</v>
      </c>
      <c r="O5" s="2291" t="s">
        <v>1947</v>
      </c>
      <c r="P5" s="2294" t="s">
        <v>1948</v>
      </c>
      <c r="Q5" s="69" t="s">
        <v>1949</v>
      </c>
      <c r="R5" s="2295" t="s">
        <v>1950</v>
      </c>
      <c r="S5" s="2296" t="s">
        <v>1951</v>
      </c>
      <c r="T5" s="2297" t="s">
        <v>1952</v>
      </c>
      <c r="U5" s="1263" t="s">
        <v>1953</v>
      </c>
      <c r="V5" s="1264" t="s">
        <v>1954</v>
      </c>
      <c r="W5" s="1264" t="s">
        <v>1955</v>
      </c>
      <c r="X5" s="71"/>
      <c r="Y5" s="70" t="s">
        <v>1956</v>
      </c>
      <c r="Z5" s="2298" t="s">
        <v>1953</v>
      </c>
      <c r="AA5" s="1264" t="s">
        <v>1954</v>
      </c>
      <c r="AB5" s="1264" t="s">
        <v>1955</v>
      </c>
      <c r="AC5" s="71"/>
      <c r="AD5" s="71" t="s">
        <v>1956</v>
      </c>
      <c r="AE5" s="1263" t="s">
        <v>1957</v>
      </c>
      <c r="AF5" s="1264" t="s">
        <v>1958</v>
      </c>
      <c r="AG5" s="70" t="s">
        <v>1959</v>
      </c>
      <c r="AH5" s="1263" t="s">
        <v>1960</v>
      </c>
      <c r="AI5" s="2298" t="s">
        <v>1961</v>
      </c>
      <c r="AJ5" s="2298" t="s">
        <v>1962</v>
      </c>
      <c r="AK5" s="1264" t="s">
        <v>1963</v>
      </c>
      <c r="AL5" s="1264" t="s">
        <v>1964</v>
      </c>
      <c r="AM5" s="70" t="s">
        <v>1965</v>
      </c>
      <c r="AN5" s="2299" t="s">
        <v>1966</v>
      </c>
      <c r="AO5" s="2069" t="s">
        <v>1967</v>
      </c>
      <c r="AP5" s="1245" t="s">
        <v>1968</v>
      </c>
      <c r="AQ5" s="2300" t="s">
        <v>1969</v>
      </c>
      <c r="AR5" s="2300" t="s">
        <v>1970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1" t="str">
        <f>'数据-汇总表'!C19</f>
        <v>办公用房</v>
      </c>
      <c r="B6" s="2302" t="str">
        <f>IF(A6=0,"","经营性")</f>
        <v>经营性</v>
      </c>
      <c r="C6" s="2303" t="s">
        <v>27</v>
      </c>
      <c r="D6" s="1047">
        <f>SUMIF(项目基本情况!D$12:I$12,C6,项目基本情况!D$14:I$14)</f>
        <v>50</v>
      </c>
      <c r="E6" s="1044">
        <f>IF(B6="","",SUMIF(项目基本情况!D$12:I$12,C6,项目基本情况!D$13:I$13))</f>
        <v>52838</v>
      </c>
      <c r="F6" s="72">
        <f>SUMIF(项目基本情况!D$12:I$12,C6,项目基本情况!D$15:I$15)</f>
        <v>24.77</v>
      </c>
      <c r="G6" s="73">
        <f>IF(ISERROR(ROUND(POWER(1+H6,D6-F6)*(POWER(1+H6,F6)-1)/(POWER(1+H6,D6)-1),3)),0,ROUND(POWER(1+H6,D6-F6)*(POWER(1+H6,F6)-1)/(POWER(1+H6,D6)-1),3))</f>
        <v>0.747</v>
      </c>
      <c r="H6" s="802">
        <v>4.4999999999999998E-2</v>
      </c>
      <c r="I6" s="802">
        <v>0.05</v>
      </c>
      <c r="J6" s="74">
        <v>8.5000000000000006E-2</v>
      </c>
      <c r="K6" s="1247">
        <f>SUMIF('数据-汇总表'!C$19:C$33,A6,'数据-汇总表'!E$19:E$33)</f>
        <v>11386.72</v>
      </c>
      <c r="L6" s="803">
        <v>3000</v>
      </c>
      <c r="M6" s="75">
        <f t="shared" ref="M6:M14" si="0">ROUND(K6*L6/10000,0)</f>
        <v>3416</v>
      </c>
      <c r="N6" s="801">
        <f>ROUND(1-(1-0%)*(2019-1996)/60,2)</f>
        <v>0.62</v>
      </c>
      <c r="O6" s="75" t="str">
        <f>IF($N$5="成新度","——",ROUND(M6*N6,0))</f>
        <v>——</v>
      </c>
      <c r="P6" s="76" t="str">
        <f>IF($N$5="成新度","——",M6-O6)</f>
        <v>——</v>
      </c>
      <c r="Q6" s="804">
        <v>0.15</v>
      </c>
      <c r="R6" s="77">
        <f ca="1">SUMIF('数据-汇总表'!C$19:C$33,A6,'数据-汇总表'!R$19:R$27)</f>
        <v>1165.98</v>
      </c>
      <c r="S6" s="54">
        <f>IF('数据-汇总表'!$I$17="按面积比例",SUMIF('数据-汇总表'!C$19:C$33,A6,'数据-汇总表'!K$19:K$33),SUMIF('数据-汇总表'!C$19:C$33,A6,'数据-汇总表'!N$19:N$33))</f>
        <v>0</v>
      </c>
      <c r="T6" s="1438">
        <f>ROUND($L$14*S6/10000,0)</f>
        <v>0</v>
      </c>
      <c r="U6" s="78">
        <v>6</v>
      </c>
      <c r="V6" s="79">
        <v>0.03</v>
      </c>
      <c r="W6" s="79">
        <v>0.1</v>
      </c>
      <c r="X6" s="1257"/>
      <c r="Y6" s="80">
        <f>N6</f>
        <v>0.62</v>
      </c>
      <c r="Z6" s="81"/>
      <c r="AA6" s="74"/>
      <c r="AB6" s="74"/>
      <c r="AC6" s="1257"/>
      <c r="AD6" s="82"/>
      <c r="AE6" s="1258">
        <f ca="1">IF(AN6="",0,SUMIF(INDIRECT("'"&amp;AN6&amp;"'"&amp;"!E:E"),$AE$5,INDIRECT("'"&amp;AN6&amp;"'"&amp;"!F:F")))</f>
        <v>0</v>
      </c>
      <c r="AF6" s="1799"/>
      <c r="AG6" s="147">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4.25">
      <c r="A7" s="2301" t="str">
        <f>'数据-汇总表'!C20</f>
        <v>1层商业用房</v>
      </c>
      <c r="B7" s="2302" t="str">
        <f t="shared" ref="B7:B13" si="1">IF(A7=0,"","经营性")</f>
        <v>经营性</v>
      </c>
      <c r="C7" s="2303" t="s">
        <v>1369</v>
      </c>
      <c r="D7" s="1047">
        <f>SUMIF(项目基本情况!D$12:I$12,C7,项目基本情况!D$14:I$14)</f>
        <v>40</v>
      </c>
      <c r="E7" s="1044">
        <f>IF(B7="","",SUMIF(项目基本情况!D$12:I$12,C7,项目基本情况!D$13:I$13))</f>
        <v>49185</v>
      </c>
      <c r="F7" s="72">
        <f>SUMIF(项目基本情况!D$12:I$12,C7,项目基本情况!D$15:I$15)</f>
        <v>14.76</v>
      </c>
      <c r="G7" s="73">
        <f t="shared" ref="G7:G11" si="2">IF(ISERROR(ROUND(POWER(1+H7,D7-F7)*(POWER(1+H7,F7)-1)/(POWER(1+H7,D7)-1),3)),0,ROUND(POWER(1+H7,D7-F7)*(POWER(1+H7,F7)-1)/(POWER(1+H7,D7)-1),3))</f>
        <v>0.57699999999999996</v>
      </c>
      <c r="H7" s="802">
        <v>4.4999999999999998E-2</v>
      </c>
      <c r="I7" s="802">
        <v>0.05</v>
      </c>
      <c r="J7" s="74">
        <v>8.5000000000000006E-2</v>
      </c>
      <c r="K7" s="1247">
        <f>SUMIF('数据-汇总表'!C$19:C$33,A7,'数据-汇总表'!E$19:E$33)</f>
        <v>2404.44</v>
      </c>
      <c r="L7" s="803">
        <v>3000</v>
      </c>
      <c r="M7" s="75">
        <f t="shared" si="0"/>
        <v>721</v>
      </c>
      <c r="N7" s="801">
        <f t="shared" ref="N7:N10" si="3">ROUND(1-(1-0%)*(2019-1996)/60,2)</f>
        <v>0.62</v>
      </c>
      <c r="O7" s="75" t="str">
        <f t="shared" ref="O7:O14" si="4">IF($N$5="成新度","——",ROUND(M7*N7,0))</f>
        <v>——</v>
      </c>
      <c r="P7" s="76" t="str">
        <f t="shared" ref="P7:P14" si="5">IF($N$5="成新度","——",M7-O7)</f>
        <v>——</v>
      </c>
      <c r="Q7" s="804">
        <v>0.2</v>
      </c>
      <c r="R7" s="77">
        <f ca="1">SUMIF('数据-汇总表'!C$19:C$33,A7,'数据-汇总表'!R$19:R$27)</f>
        <v>246.21</v>
      </c>
      <c r="S7" s="54">
        <f>IF('数据-汇总表'!$I$17="按面积比例",SUMIF('数据-汇总表'!C$19:C$33,A7,'数据-汇总表'!K$19:K$33),SUMIF('数据-汇总表'!C$19:C$33,A7,'数据-汇总表'!N$19:N$33))</f>
        <v>0</v>
      </c>
      <c r="T7" s="1438">
        <f t="shared" ref="T7:T13" si="6">ROUND($L$14*S7/10000,0)</f>
        <v>0</v>
      </c>
      <c r="U7" s="78">
        <v>8</v>
      </c>
      <c r="V7" s="79">
        <v>3.5000000000000003E-2</v>
      </c>
      <c r="W7" s="79">
        <v>0.1</v>
      </c>
      <c r="X7" s="1257"/>
      <c r="Y7" s="80">
        <f t="shared" ref="Y7:Y10" si="7">N7</f>
        <v>0.62</v>
      </c>
      <c r="Z7" s="81"/>
      <c r="AA7" s="74"/>
      <c r="AB7" s="74"/>
      <c r="AC7" s="1257"/>
      <c r="AD7" s="82"/>
      <c r="AE7" s="1258">
        <f t="shared" ref="AE7:AE13" ca="1" si="8">IF(AN7="",0,SUMIF(INDIRECT("'"&amp;AN7&amp;"'"&amp;"!E:E"),$AE$5,INDIRECT("'"&amp;AN7&amp;"'"&amp;"!F:F")))</f>
        <v>14.76</v>
      </c>
      <c r="AF7" s="1799"/>
      <c r="AG7" s="147">
        <f t="shared" ref="AG7:AG13" si="9">IF(AF7="",0,AE7-AF7)</f>
        <v>0</v>
      </c>
      <c r="AH7" s="83"/>
      <c r="AI7" s="85">
        <v>365</v>
      </c>
      <c r="AJ7" s="86"/>
      <c r="AK7" s="87">
        <v>1.4999999999999999E-2</v>
      </c>
      <c r="AL7" s="88">
        <v>1.5E-3</v>
      </c>
      <c r="AM7" s="89">
        <v>0.01</v>
      </c>
      <c r="AN7" s="2304" t="s">
        <v>3012</v>
      </c>
      <c r="AO7" s="55">
        <f t="shared" ref="AO7:AO13" ca="1" si="10">SUMIF(INDIRECT("'"&amp;AN7&amp;"'"&amp;"!A:A"),"总价",INDIRECT("'"&amp;AN7&amp;"'"&amp;"!B:B"))</f>
        <v>6404</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4.25">
      <c r="A8" s="2301" t="str">
        <f>'数据-汇总表'!C21</f>
        <v>2层商业用房</v>
      </c>
      <c r="B8" s="2302" t="str">
        <f t="shared" si="1"/>
        <v>经营性</v>
      </c>
      <c r="C8" s="2303" t="s">
        <v>1369</v>
      </c>
      <c r="D8" s="1047">
        <f>SUMIF(项目基本情况!D$12:I$12,C8,项目基本情况!D$14:I$14)</f>
        <v>40</v>
      </c>
      <c r="E8" s="1044">
        <f>IF(B8="","",SUMIF(项目基本情况!D$12:I$12,C8,项目基本情况!D$13:I$13))</f>
        <v>49185</v>
      </c>
      <c r="F8" s="72">
        <f>SUMIF(项目基本情况!D$12:I$12,C8,项目基本情况!D$15:I$15)</f>
        <v>14.76</v>
      </c>
      <c r="G8" s="73">
        <f t="shared" si="2"/>
        <v>0.57699999999999996</v>
      </c>
      <c r="H8" s="802">
        <v>4.4999999999999998E-2</v>
      </c>
      <c r="I8" s="802">
        <v>0.05</v>
      </c>
      <c r="J8" s="74">
        <v>8.5000000000000006E-2</v>
      </c>
      <c r="K8" s="1247">
        <f>SUMIF('数据-汇总表'!C$19:C$33,A8,'数据-汇总表'!E$19:E$33)</f>
        <v>3216.4900000000002</v>
      </c>
      <c r="L8" s="803">
        <v>3000</v>
      </c>
      <c r="M8" s="75">
        <f>ROUND(K8*L8/10000,0)</f>
        <v>965</v>
      </c>
      <c r="N8" s="801">
        <f t="shared" si="3"/>
        <v>0.62</v>
      </c>
      <c r="O8" s="75" t="str">
        <f t="shared" si="4"/>
        <v>——</v>
      </c>
      <c r="P8" s="76" t="str">
        <f t="shared" si="5"/>
        <v>——</v>
      </c>
      <c r="Q8" s="804">
        <v>0.2</v>
      </c>
      <c r="R8" s="77">
        <f ca="1">SUMIF('数据-汇总表'!C$19:C$33,A8,'数据-汇总表'!R$19:R$27)</f>
        <v>329.36</v>
      </c>
      <c r="S8" s="54">
        <f>IF('数据-汇总表'!$I$17="按面积比例",SUMIF('数据-汇总表'!C$19:C$33,A8,'数据-汇总表'!K$19:K$33),SUMIF('数据-汇总表'!C$19:C$33,A8,'数据-汇总表'!N$19:N$33))</f>
        <v>0</v>
      </c>
      <c r="T8" s="1438">
        <f t="shared" si="6"/>
        <v>0</v>
      </c>
      <c r="U8" s="805">
        <v>6</v>
      </c>
      <c r="V8" s="806">
        <v>3.5000000000000003E-2</v>
      </c>
      <c r="W8" s="79">
        <v>0.1</v>
      </c>
      <c r="X8" s="1257"/>
      <c r="Y8" s="80">
        <f t="shared" si="7"/>
        <v>0.62</v>
      </c>
      <c r="Z8" s="81"/>
      <c r="AA8" s="74"/>
      <c r="AB8" s="74"/>
      <c r="AC8" s="1257"/>
      <c r="AD8" s="82"/>
      <c r="AE8" s="1258">
        <f t="shared" ca="1" si="8"/>
        <v>0</v>
      </c>
      <c r="AF8" s="1799"/>
      <c r="AG8" s="147">
        <f t="shared" si="9"/>
        <v>0</v>
      </c>
      <c r="AH8" s="807"/>
      <c r="AI8" s="85">
        <v>365</v>
      </c>
      <c r="AJ8" s="86"/>
      <c r="AK8" s="87">
        <v>1.4999999999999999E-2</v>
      </c>
      <c r="AL8" s="88">
        <v>1.5E-3</v>
      </c>
      <c r="AM8" s="89">
        <v>0.01</v>
      </c>
      <c r="AN8" s="2304"/>
      <c r="AO8" s="55" t="e">
        <f t="shared" ca="1" si="10"/>
        <v>#REF!</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4.25">
      <c r="A9" s="2301" t="str">
        <f>'数据-汇总表'!C22</f>
        <v>地下车库用房</v>
      </c>
      <c r="B9" s="2302" t="str">
        <f t="shared" si="1"/>
        <v>经营性</v>
      </c>
      <c r="C9" s="2303" t="s">
        <v>3037</v>
      </c>
      <c r="D9" s="1047">
        <f>SUMIF(项目基本情况!D$12:I$12,C9,项目基本情况!D$14:I$14)</f>
        <v>50</v>
      </c>
      <c r="E9" s="1044">
        <f>IF(B9="","",SUMIF(项目基本情况!D$12:I$12,C9,项目基本情况!D$13:I$13))</f>
        <v>52838</v>
      </c>
      <c r="F9" s="72">
        <f>SUMIF(项目基本情况!D$12:I$12,C9,项目基本情况!D$15:I$15)</f>
        <v>24.77</v>
      </c>
      <c r="G9" s="73">
        <f t="shared" si="2"/>
        <v>0.747</v>
      </c>
      <c r="H9" s="802">
        <v>4.4999999999999998E-2</v>
      </c>
      <c r="I9" s="802">
        <v>0.05</v>
      </c>
      <c r="J9" s="74">
        <v>8.5000000000000006E-2</v>
      </c>
      <c r="K9" s="1247">
        <f>SUMIF('数据-汇总表'!C$19:C$33,A9,'数据-汇总表'!E$19:E$33)</f>
        <v>165.07999999999998</v>
      </c>
      <c r="L9" s="803">
        <v>3000</v>
      </c>
      <c r="M9" s="75">
        <f t="shared" si="0"/>
        <v>50</v>
      </c>
      <c r="N9" s="801">
        <f t="shared" si="3"/>
        <v>0.62</v>
      </c>
      <c r="O9" s="75" t="str">
        <f t="shared" si="4"/>
        <v>——</v>
      </c>
      <c r="P9" s="76" t="str">
        <f t="shared" si="5"/>
        <v>——</v>
      </c>
      <c r="Q9" s="90">
        <v>0.05</v>
      </c>
      <c r="R9" s="77">
        <f ca="1">SUMIF('数据-汇总表'!C$19:C$33,A9,'数据-汇总表'!R$19:R$27)</f>
        <v>16.899999999999999</v>
      </c>
      <c r="S9" s="54">
        <f>IF('数据-汇总表'!$I$17="按面积比例",SUMIF('数据-汇总表'!C$19:C$33,A9,'数据-汇总表'!K$19:K$33),SUMIF('数据-汇总表'!C$19:C$33,A9,'数据-汇总表'!N$19:N$33))</f>
        <v>0</v>
      </c>
      <c r="T9" s="1438">
        <f t="shared" si="6"/>
        <v>0</v>
      </c>
      <c r="U9" s="78">
        <v>1000</v>
      </c>
      <c r="V9" s="79">
        <v>0.01</v>
      </c>
      <c r="W9" s="79">
        <v>0.1</v>
      </c>
      <c r="X9" s="1257"/>
      <c r="Y9" s="80">
        <f t="shared" si="7"/>
        <v>0.62</v>
      </c>
      <c r="Z9" s="81"/>
      <c r="AA9" s="74"/>
      <c r="AB9" s="74"/>
      <c r="AC9" s="1257"/>
      <c r="AD9" s="82"/>
      <c r="AE9" s="1258">
        <f t="shared" ca="1" si="8"/>
        <v>24.77</v>
      </c>
      <c r="AF9" s="1799"/>
      <c r="AG9" s="147">
        <f t="shared" si="9"/>
        <v>0</v>
      </c>
      <c r="AH9" s="83">
        <v>10</v>
      </c>
      <c r="AI9" s="85">
        <v>12</v>
      </c>
      <c r="AJ9" s="86"/>
      <c r="AK9" s="87">
        <v>1.4999999999999999E-2</v>
      </c>
      <c r="AL9" s="88">
        <v>1.5E-3</v>
      </c>
      <c r="AM9" s="89">
        <v>0.01</v>
      </c>
      <c r="AN9" s="2304" t="s">
        <v>3047</v>
      </c>
      <c r="AO9" s="55">
        <f t="shared" ca="1" si="10"/>
        <v>124</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4.25">
      <c r="A10" s="2301" t="str">
        <f>'数据-汇总表'!C23</f>
        <v>地下办公用房</v>
      </c>
      <c r="B10" s="2302" t="str">
        <f t="shared" si="1"/>
        <v>经营性</v>
      </c>
      <c r="C10" s="2303" t="s">
        <v>27</v>
      </c>
      <c r="D10" s="1047">
        <f>SUMIF(项目基本情况!D$12:I$12,C10,项目基本情况!D$14:I$14)</f>
        <v>50</v>
      </c>
      <c r="E10" s="1044">
        <f>IF(B10="","",SUMIF(项目基本情况!D$12:I$12,C10,项目基本情况!D$13:I$13))</f>
        <v>52838</v>
      </c>
      <c r="F10" s="72">
        <f>SUMIF(项目基本情况!D$12:I$12,C10,项目基本情况!D$15:I$15)</f>
        <v>24.77</v>
      </c>
      <c r="G10" s="73">
        <f t="shared" si="2"/>
        <v>0.747</v>
      </c>
      <c r="H10" s="802">
        <v>4.4999999999999998E-2</v>
      </c>
      <c r="I10" s="802">
        <v>0.05</v>
      </c>
      <c r="J10" s="74">
        <v>8.5000000000000006E-2</v>
      </c>
      <c r="K10" s="1247">
        <f>SUMIF('数据-汇总表'!C$19:C$33,A10,'数据-汇总表'!E$19:E$33)</f>
        <v>2010.68</v>
      </c>
      <c r="L10" s="803">
        <v>3000</v>
      </c>
      <c r="M10" s="75">
        <f t="shared" si="0"/>
        <v>603</v>
      </c>
      <c r="N10" s="801">
        <f t="shared" si="3"/>
        <v>0.62</v>
      </c>
      <c r="O10" s="75" t="str">
        <f t="shared" si="4"/>
        <v>——</v>
      </c>
      <c r="P10" s="76" t="str">
        <f t="shared" si="5"/>
        <v>——</v>
      </c>
      <c r="Q10" s="90">
        <v>0.1</v>
      </c>
      <c r="R10" s="77">
        <f ca="1">SUMIF('数据-汇总表'!C$19:C$33,A10,'数据-汇总表'!R$19:R$27)</f>
        <v>205.89</v>
      </c>
      <c r="S10" s="54">
        <f>IF('数据-汇总表'!$I$17="按面积比例",SUMIF('数据-汇总表'!C$19:C$33,A10,'数据-汇总表'!K$19:K$33),SUMIF('数据-汇总表'!C$19:C$33,A10,'数据-汇总表'!N$19:N$33))</f>
        <v>0</v>
      </c>
      <c r="T10" s="1438">
        <f t="shared" si="6"/>
        <v>0</v>
      </c>
      <c r="U10" s="78">
        <f>U6*0.4</f>
        <v>2.4000000000000004</v>
      </c>
      <c r="V10" s="79">
        <v>1.4999999999999999E-2</v>
      </c>
      <c r="W10" s="79">
        <v>0.1</v>
      </c>
      <c r="X10" s="1257"/>
      <c r="Y10" s="80">
        <f t="shared" si="7"/>
        <v>0.62</v>
      </c>
      <c r="Z10" s="81"/>
      <c r="AA10" s="74"/>
      <c r="AB10" s="74"/>
      <c r="AC10" s="1257"/>
      <c r="AD10" s="82"/>
      <c r="AE10" s="1258">
        <f t="shared" ca="1" si="8"/>
        <v>0</v>
      </c>
      <c r="AF10" s="1799"/>
      <c r="AG10" s="147">
        <f t="shared" si="9"/>
        <v>0</v>
      </c>
      <c r="AH10" s="83"/>
      <c r="AI10" s="85">
        <v>365</v>
      </c>
      <c r="AJ10" s="86"/>
      <c r="AK10" s="87">
        <v>1.4999999999999999E-2</v>
      </c>
      <c r="AL10" s="88">
        <v>1.5E-3</v>
      </c>
      <c r="AM10" s="89">
        <v>0.01</v>
      </c>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4.25">
      <c r="A11" s="2301" t="str">
        <f>'数据-汇总表'!C24</f>
        <v>三层办公用房</v>
      </c>
      <c r="B11" s="2302" t="str">
        <f t="shared" si="1"/>
        <v>经营性</v>
      </c>
      <c r="C11" s="2303" t="s">
        <v>27</v>
      </c>
      <c r="D11" s="1047">
        <f>SUMIF(项目基本情况!D$12:I$12,C11,项目基本情况!D$14:I$14)</f>
        <v>50</v>
      </c>
      <c r="E11" s="1044">
        <f>IF(B11="","",SUMIF(项目基本情况!D$12:I$12,C11,项目基本情况!D$13:I$13))</f>
        <v>52838</v>
      </c>
      <c r="F11" s="72">
        <f>SUMIF(项目基本情况!D$12:I$12,C11,项目基本情况!D$15:I$15)</f>
        <v>24.77</v>
      </c>
      <c r="G11" s="73">
        <f t="shared" si="2"/>
        <v>0.747</v>
      </c>
      <c r="H11" s="802">
        <v>4.4999999999999998E-2</v>
      </c>
      <c r="I11" s="802">
        <v>0.05</v>
      </c>
      <c r="J11" s="74">
        <v>8.5000000000000006E-2</v>
      </c>
      <c r="K11" s="1247">
        <f>SUMIF('数据-汇总表'!C$19:C$33,A11,'数据-汇总表'!E$19:E$33)</f>
        <v>2099.0100000000002</v>
      </c>
      <c r="L11" s="803">
        <v>3000</v>
      </c>
      <c r="M11" s="75">
        <f t="shared" si="0"/>
        <v>630</v>
      </c>
      <c r="N11" s="801">
        <f>ROUND(1-(1-0%)*(2019-1996)/60,2)</f>
        <v>0.62</v>
      </c>
      <c r="O11" s="75" t="str">
        <f t="shared" si="4"/>
        <v>——</v>
      </c>
      <c r="P11" s="76" t="str">
        <f t="shared" si="5"/>
        <v>——</v>
      </c>
      <c r="Q11" s="804">
        <v>0.15</v>
      </c>
      <c r="R11" s="77">
        <f ca="1">SUMIF('数据-汇总表'!C$19:C$33,A11,'数据-汇总表'!R$19:R$27)</f>
        <v>214.94</v>
      </c>
      <c r="S11" s="54">
        <f>IF('数据-汇总表'!$I$17="按面积比例",SUMIF('数据-汇总表'!C$19:C$33,A11,'数据-汇总表'!K$19:K$33),SUMIF('数据-汇总表'!C$19:C$33,A11,'数据-汇总表'!N$19:N$33))</f>
        <v>0</v>
      </c>
      <c r="T11" s="1438">
        <f t="shared" si="6"/>
        <v>0</v>
      </c>
      <c r="U11" s="78">
        <v>6</v>
      </c>
      <c r="V11" s="79">
        <v>0.03</v>
      </c>
      <c r="W11" s="79">
        <v>0.1</v>
      </c>
      <c r="X11" s="1257"/>
      <c r="Y11" s="80">
        <f>N11</f>
        <v>0.62</v>
      </c>
      <c r="Z11" s="93"/>
      <c r="AA11" s="74"/>
      <c r="AB11" s="74"/>
      <c r="AC11" s="1257"/>
      <c r="AD11" s="82"/>
      <c r="AE11" s="1258">
        <f t="shared" ca="1" si="8"/>
        <v>24.77</v>
      </c>
      <c r="AF11" s="1799"/>
      <c r="AG11" s="147">
        <f t="shared" si="9"/>
        <v>0</v>
      </c>
      <c r="AH11" s="83"/>
      <c r="AI11" s="85">
        <v>365</v>
      </c>
      <c r="AJ11" s="86"/>
      <c r="AK11" s="87">
        <v>1.4999999999999999E-2</v>
      </c>
      <c r="AL11" s="88">
        <v>1.5E-3</v>
      </c>
      <c r="AM11" s="89">
        <v>0.01</v>
      </c>
      <c r="AN11" s="2304" t="s">
        <v>3010</v>
      </c>
      <c r="AO11" s="55">
        <f t="shared" ca="1" si="10"/>
        <v>6177</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25">
      <c r="A14" s="2306" t="s">
        <v>1971</v>
      </c>
      <c r="B14" s="2302" t="s">
        <v>1972</v>
      </c>
      <c r="C14" s="2307" t="s">
        <v>1971</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8"/>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7">
      <c r="A15" s="2306" t="s">
        <v>1973</v>
      </c>
      <c r="B15" s="2302" t="s">
        <v>1972</v>
      </c>
      <c r="C15" s="2307" t="s">
        <v>1974</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75" thickBot="1">
      <c r="A16" s="2308" t="s">
        <v>1975</v>
      </c>
      <c r="B16" s="97"/>
      <c r="C16" s="1001"/>
      <c r="D16" s="2309"/>
      <c r="E16" s="97"/>
      <c r="F16" s="97"/>
      <c r="G16" s="98">
        <f>ROUND(SUMPRODUCT(G6:G13,K6:K13)/SUMPRODUCT((G6:G13&gt;0)*(K6:K13)),3)</f>
        <v>0.70199999999999996</v>
      </c>
      <c r="H16" s="99">
        <f>ROUND(SUMPRODUCT(H6:H13,K6:K13)/SUMPRODUCT((H6:H13&gt;0)*(K6:K13)),3)</f>
        <v>4.4999999999999998E-2</v>
      </c>
      <c r="I16" s="100"/>
      <c r="J16" s="100"/>
      <c r="K16" s="101">
        <f>SUM(K6:K15)</f>
        <v>21282.420000000006</v>
      </c>
      <c r="L16" s="102">
        <f>ROUND(M16*10000/SUM(K6:K14),0)</f>
        <v>3000</v>
      </c>
      <c r="M16" s="102">
        <f>SUM(M6:M14)</f>
        <v>6385</v>
      </c>
      <c r="N16" s="103">
        <f>ROUND(SUMPRODUCT(M6:M14,N6:N14)/M16,3)</f>
        <v>0.62</v>
      </c>
      <c r="O16" s="102">
        <f>SUM(O6:O14)</f>
        <v>0</v>
      </c>
      <c r="P16" s="102">
        <f>SUM(P6:P14)</f>
        <v>0</v>
      </c>
      <c r="Q16" s="104">
        <f>ROUND(SUMPRODUCT(Q6:Q13,K6:K13)/SUMPRODUCT((Q6:Q13&gt;0)*(K6:K13)),2)</f>
        <v>0.16</v>
      </c>
      <c r="R16" s="1251">
        <f ca="1">SUM(R6:R13)</f>
        <v>2179.2800000000002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1976</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1977</v>
      </c>
      <c r="B19" s="112">
        <v>0</v>
      </c>
      <c r="C19" s="2272" t="s">
        <v>1978</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1979</v>
      </c>
      <c r="B20" s="113">
        <v>2</v>
      </c>
      <c r="C20" s="2272" t="s">
        <v>1980</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1981</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1982</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1983</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1984</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1985</v>
      </c>
      <c r="B26" s="2315" t="s">
        <v>1986</v>
      </c>
      <c r="C26" s="2316" t="s">
        <v>1987</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1988</v>
      </c>
      <c r="B27" s="116">
        <v>190</v>
      </c>
      <c r="C27" s="1759" t="s">
        <v>1989</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1990</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1991</v>
      </c>
      <c r="B29" s="121">
        <v>0</v>
      </c>
      <c r="C29" s="1759" t="s">
        <v>1992</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1993</v>
      </c>
      <c r="B30" s="724">
        <v>200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1994</v>
      </c>
      <c r="B31" s="120">
        <f>B30-B32</f>
        <v>200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1995</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1996</v>
      </c>
      <c r="B33" s="726">
        <v>0.05</v>
      </c>
      <c r="C33" s="1758" t="s">
        <v>1997</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1998</v>
      </c>
      <c r="B34" s="122">
        <v>0</v>
      </c>
      <c r="C34" s="1758" t="s">
        <v>1999</v>
      </c>
      <c r="D34" s="2273" t="s">
        <v>2000</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2001</v>
      </c>
      <c r="B35" s="119">
        <v>200</v>
      </c>
      <c r="C35" s="1758" t="s">
        <v>2002</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2003</v>
      </c>
      <c r="B36" s="123">
        <v>1.4999999999999999E-2</v>
      </c>
      <c r="C36" s="1758" t="s">
        <v>2004</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2005</v>
      </c>
      <c r="B37" s="124">
        <v>0.02</v>
      </c>
      <c r="C37" s="1758" t="s">
        <v>2006</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2007</v>
      </c>
      <c r="B38" s="122">
        <v>0.02</v>
      </c>
      <c r="C38" s="1758" t="s">
        <v>2006</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2008</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2009</v>
      </c>
      <c r="B40" s="1296">
        <f ca="1">存贷款利率!G1</f>
        <v>4.7500000000000001E-2</v>
      </c>
      <c r="C40" s="1758" t="s">
        <v>2010</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2011</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2012</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2013</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2014</v>
      </c>
      <c r="B44" s="128">
        <v>7.0000000000000007E-2</v>
      </c>
      <c r="C44" s="1758" t="s">
        <v>2015</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2016</v>
      </c>
      <c r="B45" s="126">
        <v>0.03</v>
      </c>
      <c r="C45" s="1759" t="s">
        <v>2017</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2018</v>
      </c>
      <c r="B46" s="126">
        <v>0.02</v>
      </c>
      <c r="C46" s="1759" t="s">
        <v>2019</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2020</v>
      </c>
      <c r="B47" s="129">
        <v>0</v>
      </c>
      <c r="C47" s="1759" t="s">
        <v>2021</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2022</v>
      </c>
      <c r="B48" s="130">
        <v>0.03</v>
      </c>
      <c r="C48" s="1766" t="s">
        <v>2023</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2024</v>
      </c>
      <c r="B49" s="126">
        <v>5.0000000000000001E-4</v>
      </c>
      <c r="C49" s="1766" t="s">
        <v>2025</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2026</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2027</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2028</v>
      </c>
      <c r="B52" s="133">
        <f>SUMIF(A54:A63,B53,B54:B63)</f>
        <v>18</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2029</v>
      </c>
      <c r="B53" s="2331" t="s">
        <v>442</v>
      </c>
      <c r="C53" s="1423" t="s">
        <v>2030</v>
      </c>
      <c r="D53" s="2332" t="s">
        <v>2031</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2032</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2033</v>
      </c>
      <c r="B55" s="84"/>
      <c r="C55" s="1423">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2034</v>
      </c>
      <c r="B56" s="84">
        <v>18</v>
      </c>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2035</v>
      </c>
      <c r="B57" s="84"/>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2036</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2037</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2038</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2039</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2040</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2041</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75" t="s">
        <v>2042</v>
      </c>
      <c r="B1" s="3176"/>
      <c r="C1" s="3176"/>
      <c r="D1" s="3176"/>
      <c r="E1" s="3176"/>
      <c r="F1" s="3176"/>
      <c r="G1" s="317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2043</v>
      </c>
      <c r="D2" s="2360"/>
      <c r="E2" s="2361"/>
      <c r="F2" s="2281"/>
      <c r="G2" s="2359" t="s">
        <v>2044</v>
      </c>
      <c r="H2" s="2362"/>
      <c r="I2" s="2362"/>
      <c r="J2" s="2362"/>
      <c r="K2" s="2362"/>
      <c r="L2" s="2362"/>
      <c r="M2" s="2362"/>
      <c r="N2" s="2362"/>
      <c r="O2" s="2362"/>
      <c r="P2" s="2362"/>
      <c r="Q2" s="2362"/>
      <c r="R2" s="2362"/>
    </row>
    <row r="3" spans="1:29" ht="27">
      <c r="A3" s="415" t="s">
        <v>2045</v>
      </c>
      <c r="B3" s="1264" t="s">
        <v>2046</v>
      </c>
      <c r="C3" s="2364"/>
      <c r="D3" s="2365"/>
      <c r="E3" s="431" t="s">
        <v>2045</v>
      </c>
      <c r="F3" s="2366" t="s">
        <v>2047</v>
      </c>
      <c r="G3" s="2367"/>
      <c r="H3" s="2362"/>
      <c r="I3" s="2362"/>
      <c r="J3" s="2362"/>
      <c r="K3" s="2362"/>
      <c r="L3" s="2362"/>
      <c r="M3" s="2362"/>
      <c r="N3" s="2362"/>
      <c r="O3" s="2362"/>
      <c r="P3" s="2362"/>
      <c r="Q3" s="2362"/>
      <c r="R3" s="2362"/>
    </row>
    <row r="4" spans="1:29" ht="54">
      <c r="A4" s="431"/>
      <c r="B4" s="1790" t="s">
        <v>2048</v>
      </c>
      <c r="C4" s="3062" t="s">
        <v>3344</v>
      </c>
      <c r="D4" s="2365"/>
      <c r="E4" s="2368"/>
      <c r="F4" s="42" t="s">
        <v>2049</v>
      </c>
      <c r="G4" s="2369"/>
      <c r="H4" s="2362"/>
      <c r="I4" s="2362"/>
      <c r="J4" s="2362"/>
      <c r="K4" s="2362"/>
      <c r="L4" s="2362"/>
      <c r="M4" s="2362"/>
      <c r="N4" s="2362"/>
      <c r="O4" s="2362"/>
      <c r="P4" s="2362"/>
      <c r="Q4" s="2362"/>
      <c r="R4" s="2362"/>
    </row>
    <row r="5" spans="1:29" ht="54">
      <c r="A5" s="431"/>
      <c r="B5" s="1790" t="s">
        <v>2050</v>
      </c>
      <c r="C5" s="3062" t="s">
        <v>3345</v>
      </c>
      <c r="D5" s="2365"/>
      <c r="E5" s="2368"/>
      <c r="F5" s="1790" t="s">
        <v>2051</v>
      </c>
      <c r="G5" s="2369"/>
      <c r="H5" s="2362"/>
      <c r="I5" s="2362"/>
      <c r="J5" s="2362"/>
      <c r="K5" s="2362"/>
      <c r="L5" s="2362"/>
      <c r="M5" s="2362"/>
      <c r="N5" s="2362"/>
      <c r="O5" s="2362"/>
      <c r="P5" s="2362"/>
      <c r="Q5" s="2362"/>
      <c r="R5" s="2362"/>
    </row>
    <row r="6" spans="1:29" ht="81">
      <c r="A6" s="431"/>
      <c r="B6" s="1790" t="s">
        <v>2052</v>
      </c>
      <c r="C6" s="3063" t="s">
        <v>3346</v>
      </c>
      <c r="D6" s="2365"/>
      <c r="E6" s="2368"/>
      <c r="F6" s="1790" t="s">
        <v>2053</v>
      </c>
      <c r="G6" s="2369"/>
      <c r="H6" s="2362"/>
      <c r="I6" s="2362"/>
      <c r="J6" s="2362"/>
      <c r="K6" s="2362"/>
      <c r="L6" s="2362"/>
      <c r="M6" s="2362"/>
      <c r="N6" s="2362"/>
      <c r="O6" s="2362"/>
      <c r="P6" s="2362"/>
      <c r="Q6" s="2362"/>
      <c r="R6" s="2362"/>
    </row>
    <row r="7" spans="1:29" ht="27.75" thickBot="1">
      <c r="A7" s="431"/>
      <c r="B7" s="1790" t="s">
        <v>2051</v>
      </c>
      <c r="C7" s="3063" t="s">
        <v>3347</v>
      </c>
      <c r="D7" s="2370"/>
      <c r="E7" s="2371"/>
      <c r="F7" s="2372" t="s">
        <v>2054</v>
      </c>
      <c r="G7" s="2373"/>
      <c r="H7" s="2362"/>
      <c r="I7" s="2362"/>
      <c r="J7" s="2362"/>
      <c r="K7" s="2362"/>
      <c r="L7" s="2362"/>
      <c r="M7" s="2362"/>
      <c r="N7" s="2362"/>
      <c r="O7" s="2362"/>
      <c r="P7" s="2362"/>
      <c r="Q7" s="2362"/>
      <c r="R7" s="2362"/>
    </row>
    <row r="8" spans="1:29" ht="27">
      <c r="A8" s="431"/>
      <c r="B8" s="1790" t="s">
        <v>2053</v>
      </c>
      <c r="C8" s="3063" t="s">
        <v>3348</v>
      </c>
      <c r="D8" s="2370"/>
      <c r="E8" s="2370"/>
      <c r="F8" s="1129"/>
      <c r="G8" s="1129"/>
      <c r="H8" s="2362"/>
      <c r="I8" s="2362"/>
      <c r="J8" s="2362"/>
      <c r="K8" s="2362"/>
      <c r="L8" s="2362"/>
      <c r="M8" s="2362"/>
      <c r="N8" s="2362"/>
      <c r="O8" s="2362"/>
      <c r="P8" s="2362"/>
      <c r="Q8" s="2362"/>
      <c r="R8" s="2362"/>
    </row>
    <row r="9" spans="1:29" ht="54">
      <c r="A9" s="431"/>
      <c r="B9" s="1790" t="s">
        <v>2055</v>
      </c>
      <c r="C9" s="3062" t="s">
        <v>3349</v>
      </c>
      <c r="D9" s="2365"/>
      <c r="E9" s="2370"/>
      <c r="F9" s="1129"/>
      <c r="G9" s="1129"/>
      <c r="H9" s="2362"/>
      <c r="I9" s="2362"/>
      <c r="J9" s="2362"/>
      <c r="K9" s="2362"/>
      <c r="L9" s="2362"/>
      <c r="M9" s="2362"/>
      <c r="N9" s="2362"/>
      <c r="O9" s="2362"/>
      <c r="P9" s="2362"/>
      <c r="Q9" s="2362"/>
      <c r="R9" s="2362"/>
    </row>
    <row r="10" spans="1:29" s="117" customFormat="1" ht="15.75" thickBot="1">
      <c r="A10" s="2374"/>
      <c r="B10" s="2375" t="s">
        <v>2056</v>
      </c>
      <c r="C10" s="2376" t="s">
        <v>3350</v>
      </c>
      <c r="D10" s="2365"/>
      <c r="E10" s="2365"/>
      <c r="F10" s="1129"/>
      <c r="G10" s="1129"/>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5"/>
      <c r="D11" s="2365"/>
      <c r="E11" s="2365"/>
      <c r="F11" s="2370"/>
      <c r="G11" s="1147"/>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5"/>
      <c r="D12" s="2381"/>
      <c r="E12" s="2365"/>
      <c r="F12" s="2370"/>
      <c r="G12" s="1147"/>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2057</v>
      </c>
      <c r="B13" s="2381"/>
      <c r="C13" s="2381"/>
      <c r="D13" s="2388"/>
      <c r="E13" s="2381"/>
      <c r="F13" s="2381"/>
      <c r="G13" s="2381"/>
    </row>
    <row r="14" spans="1:29" ht="15.75" thickBot="1">
      <c r="A14" s="2392"/>
      <c r="B14" s="2393"/>
      <c r="C14" s="2394" t="s">
        <v>2058</v>
      </c>
      <c r="D14" s="2365"/>
      <c r="E14" s="2395"/>
      <c r="F14" s="2395"/>
      <c r="G14" s="2359" t="s">
        <v>2059</v>
      </c>
    </row>
    <row r="15" spans="1:29" ht="27">
      <c r="A15" s="68" t="s">
        <v>2060</v>
      </c>
      <c r="B15" s="1263" t="s">
        <v>2046</v>
      </c>
      <c r="C15" s="2396">
        <f>C3</f>
        <v>0</v>
      </c>
      <c r="D15" s="2365"/>
      <c r="E15" s="2397" t="s">
        <v>2061</v>
      </c>
      <c r="F15" s="1263" t="s">
        <v>2062</v>
      </c>
      <c r="G15" s="135">
        <f>G3</f>
        <v>0</v>
      </c>
    </row>
    <row r="16" spans="1:29" ht="57">
      <c r="A16" s="645"/>
      <c r="B16" s="2398" t="s">
        <v>2048</v>
      </c>
      <c r="C16" s="2399" t="str">
        <f>C4</f>
        <v>估价对象位于亮马桥路南侧，周边商业氛围成熟一般，人流量一般，商业繁华度一般</v>
      </c>
      <c r="D16" s="2365"/>
      <c r="E16" s="2400"/>
      <c r="F16" s="2401" t="s">
        <v>2049</v>
      </c>
      <c r="G16" s="136">
        <f>G4</f>
        <v>0</v>
      </c>
    </row>
    <row r="17" spans="1:18" ht="57">
      <c r="A17" s="645"/>
      <c r="B17" s="2398" t="s">
        <v>2050</v>
      </c>
      <c r="C17" s="2399" t="str">
        <f>C5</f>
        <v>估价对象位于亮马桥路南侧，周边办公楼项目较多，入驻率较高，办公集聚程度较好</v>
      </c>
      <c r="D17" s="2370"/>
      <c r="E17" s="2400"/>
      <c r="F17" s="2401" t="s">
        <v>2063</v>
      </c>
      <c r="G17" s="1564"/>
    </row>
    <row r="18" spans="1:18" ht="85.5">
      <c r="A18" s="645"/>
      <c r="B18" s="2401" t="s">
        <v>2052</v>
      </c>
      <c r="C18" s="136" t="str">
        <f>C6</f>
        <v>估价对象周边道路状况较好、公共交通通达情况较好、停车便捷程度较好，周边有地铁14号线东风北桥站，周边有402/403等公交线路，综合评价交通便捷度较好</v>
      </c>
      <c r="D18" s="2370"/>
      <c r="E18" s="2400"/>
      <c r="F18" s="2401" t="s">
        <v>2054</v>
      </c>
      <c r="G18" s="136">
        <f>G7</f>
        <v>0</v>
      </c>
    </row>
    <row r="19" spans="1:18" ht="15">
      <c r="A19" s="645"/>
      <c r="B19" s="2401" t="s">
        <v>2064</v>
      </c>
      <c r="C19" s="3064" t="s">
        <v>3351</v>
      </c>
      <c r="D19" s="2365"/>
      <c r="E19" s="2400"/>
      <c r="F19" s="1790" t="s">
        <v>2051</v>
      </c>
      <c r="G19" s="136">
        <f>G5</f>
        <v>0</v>
      </c>
    </row>
    <row r="20" spans="1:18" ht="57">
      <c r="A20" s="645"/>
      <c r="B20" s="2401" t="s">
        <v>2065</v>
      </c>
      <c r="C20" s="2399" t="str">
        <f>C9</f>
        <v>区域自然环境好：周边临近朝阳公园；人文环境好：周边临近农业展览馆；综合评价环境状况好</v>
      </c>
      <c r="D20" s="2370"/>
      <c r="E20" s="2400"/>
      <c r="F20" s="1790" t="s">
        <v>2066</v>
      </c>
      <c r="G20" s="136">
        <f>G6</f>
        <v>0</v>
      </c>
    </row>
    <row r="21" spans="1:18" ht="28.5">
      <c r="A21" s="645"/>
      <c r="B21" s="1790" t="s">
        <v>2051</v>
      </c>
      <c r="C21" s="136" t="str">
        <f>C7</f>
        <v>估价对象所在区域公共配套设施齐备情况较好</v>
      </c>
      <c r="D21" s="2365"/>
      <c r="E21" s="2400"/>
      <c r="F21" s="2401" t="s">
        <v>2067</v>
      </c>
      <c r="G21" s="2402"/>
    </row>
    <row r="22" spans="1:18" ht="13.5" customHeight="1">
      <c r="A22" s="645"/>
      <c r="B22" s="1790" t="s">
        <v>2053</v>
      </c>
      <c r="C22" s="136" t="str">
        <f>C8</f>
        <v>估价对象所在区域基础设施水平较好</v>
      </c>
      <c r="D22" s="2365"/>
      <c r="E22" s="2400"/>
      <c r="F22" s="2401" t="s">
        <v>2056</v>
      </c>
      <c r="G22" s="1564"/>
    </row>
    <row r="23" spans="1:18" s="2362" customFormat="1" ht="15.75" thickBot="1">
      <c r="A23" s="645"/>
      <c r="B23" s="2401" t="s">
        <v>2067</v>
      </c>
      <c r="C23" s="2402" t="s">
        <v>3086</v>
      </c>
      <c r="D23" s="2389"/>
      <c r="E23" s="2403"/>
      <c r="F23" s="2404" t="s">
        <v>2068</v>
      </c>
      <c r="G23" s="2405"/>
      <c r="H23" s="2389"/>
      <c r="I23" s="2390"/>
      <c r="J23" s="2389"/>
      <c r="K23" s="2389"/>
      <c r="L23" s="2390"/>
      <c r="M23" s="2389"/>
      <c r="N23" s="2389"/>
      <c r="O23" s="2390"/>
      <c r="P23" s="2389"/>
      <c r="Q23" s="2389"/>
      <c r="R23" s="2391"/>
    </row>
    <row r="24" spans="1:18" s="2362" customFormat="1" ht="15.75" thickBot="1">
      <c r="A24" s="2406"/>
      <c r="B24" s="2404" t="s">
        <v>2069</v>
      </c>
      <c r="C24" s="137" t="str">
        <f>C10</f>
        <v>城市支路-亮马桥路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1733" customWidth="1"/>
    <col min="2" max="9" width="15.75" style="1733" customWidth="1"/>
    <col min="10" max="10" width="13.875" style="1733" customWidth="1"/>
    <col min="11" max="16384" width="9" style="1733"/>
  </cols>
  <sheetData>
    <row r="1" spans="1:10" ht="16.5">
      <c r="A1" s="1738" t="s">
        <v>1357</v>
      </c>
      <c r="B1" s="1738">
        <f>SUM(B14:B23)</f>
        <v>40465.83</v>
      </c>
      <c r="C1" s="1737"/>
      <c r="D1" s="1737"/>
      <c r="E1" s="1737"/>
      <c r="F1" s="1737"/>
      <c r="G1" s="1735"/>
    </row>
    <row r="2" spans="1:10" ht="16.5">
      <c r="A2" s="1738" t="s">
        <v>1345</v>
      </c>
      <c r="B2" s="1738">
        <f>SUM(C14:C23)</f>
        <v>2179.29</v>
      </c>
      <c r="C2" s="1737"/>
      <c r="D2" s="1737"/>
      <c r="E2" s="1737"/>
      <c r="F2" s="1737"/>
      <c r="G2" s="1735"/>
    </row>
    <row r="3" spans="1:10" ht="16.5">
      <c r="A3" s="1738" t="s">
        <v>1354</v>
      </c>
      <c r="B3" s="1739">
        <f>项目基本情况!D3</f>
        <v>43795</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62277</v>
      </c>
      <c r="C5" s="1738">
        <f ca="1">ROUND(B5*10000/$B$1,0)</f>
        <v>15390</v>
      </c>
      <c r="D5" s="1738">
        <f ca="1">ROUND(B5*10000/$B$2,0)</f>
        <v>285767</v>
      </c>
      <c r="E5" s="1737"/>
      <c r="F5" s="1735"/>
      <c r="G5" s="1735"/>
    </row>
    <row r="6" spans="1:10" ht="16.5">
      <c r="A6" s="1738" t="s">
        <v>1348</v>
      </c>
      <c r="B6" s="1738">
        <f>SUM(G14:G23)</f>
        <v>0</v>
      </c>
      <c r="C6" s="1738">
        <f>ROUND(B6*10000/$B$1,0)</f>
        <v>0</v>
      </c>
      <c r="D6" s="1738">
        <f>ROUND(B6*10000/$B$2,0)</f>
        <v>0</v>
      </c>
      <c r="E6" s="1737"/>
      <c r="F6" s="1735"/>
      <c r="G6" s="1735"/>
    </row>
    <row r="7" spans="1:10" ht="16.5">
      <c r="A7" s="1738" t="s">
        <v>1356</v>
      </c>
      <c r="B7" s="1738">
        <f ca="1">SUM(H14:H23)</f>
        <v>62277</v>
      </c>
      <c r="C7" s="1738">
        <f ca="1">ROUND(B7*10000/$B$1,0)</f>
        <v>15390</v>
      </c>
      <c r="D7" s="1738">
        <f ca="1">ROUND(B7*10000/$B$2,0)</f>
        <v>285767</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'结果表-办公'!B118</f>
        <v>21282.42</v>
      </c>
      <c r="C14" s="1736">
        <f>'结果表-办公'!C118</f>
        <v>2179.29</v>
      </c>
      <c r="D14" s="1736">
        <f ca="1">'结果表-办公'!H118</f>
        <v>6633</v>
      </c>
      <c r="E14" s="1736">
        <f ca="1">ROUND(D14*10000/B14,0)</f>
        <v>3117</v>
      </c>
      <c r="F14" s="1736">
        <f ca="1">ROUND(D14*10000/C14,0)</f>
        <v>30437</v>
      </c>
      <c r="G14" s="1736" t="str">
        <f>'结果表-办公'!D122</f>
        <v>——</v>
      </c>
      <c r="H14" s="1736">
        <f ca="1">'结果表-办公'!D124</f>
        <v>6633</v>
      </c>
      <c r="I14" s="1736" t="str">
        <f>'结果表-办公'!D126</f>
        <v>——</v>
      </c>
      <c r="J14" s="1735"/>
    </row>
    <row r="15" spans="1:10" ht="16.5">
      <c r="A15" s="1734" t="s">
        <v>1341</v>
      </c>
      <c r="B15" s="1741">
        <f>面积表!E27-面积表!E3</f>
        <v>13397.4</v>
      </c>
      <c r="C15" s="1741"/>
      <c r="D15" s="1741">
        <f ca="1">'典型户型修正-办公'!B20-'典型户型修正-办公'!S24</f>
        <v>38777</v>
      </c>
      <c r="E15" s="1736">
        <f t="shared" ref="E15:E23" ca="1" si="0">ROUND(D15*10000/B15,0)</f>
        <v>28944</v>
      </c>
      <c r="F15" s="1736" t="e">
        <f t="shared" ref="F15:F23" ca="1" si="1">ROUND(D15*10000/C15,0)</f>
        <v>#DIV/0!</v>
      </c>
      <c r="G15" s="1742"/>
      <c r="H15" s="1742">
        <f ca="1">D15</f>
        <v>38777</v>
      </c>
      <c r="I15" s="1741"/>
      <c r="J15" s="1735"/>
    </row>
    <row r="16" spans="1:10" ht="16.5">
      <c r="A16" s="1734" t="s">
        <v>1340</v>
      </c>
      <c r="B16" s="1741">
        <f>'数据-汇总表'!F20</f>
        <v>2404.44</v>
      </c>
      <c r="C16" s="1741"/>
      <c r="D16" s="1741">
        <f ca="1">'典型户型修正-商业'!S24</f>
        <v>8616</v>
      </c>
      <c r="E16" s="1736">
        <f t="shared" ca="1" si="0"/>
        <v>35834</v>
      </c>
      <c r="F16" s="1736" t="e">
        <f t="shared" ca="1" si="1"/>
        <v>#DIV/0!</v>
      </c>
      <c r="G16" s="1742"/>
      <c r="H16" s="1742">
        <f t="shared" ref="H16:H18" ca="1" si="2">D16</f>
        <v>8616</v>
      </c>
      <c r="I16" s="1741"/>
    </row>
    <row r="17" spans="1:9" ht="16.5">
      <c r="A17" s="1734" t="s">
        <v>1339</v>
      </c>
      <c r="B17" s="1741">
        <f>'数据-汇总表'!F21</f>
        <v>3216.4900000000002</v>
      </c>
      <c r="C17" s="1741"/>
      <c r="D17" s="1741">
        <f ca="1">'典型户型修正-商业'!S25</f>
        <v>8068</v>
      </c>
      <c r="E17" s="1736">
        <f t="shared" ca="1" si="0"/>
        <v>25083</v>
      </c>
      <c r="F17" s="1736" t="e">
        <f t="shared" ca="1" si="1"/>
        <v>#DIV/0!</v>
      </c>
      <c r="G17" s="1742"/>
      <c r="H17" s="1742">
        <f t="shared" ca="1" si="2"/>
        <v>8068</v>
      </c>
      <c r="I17" s="1741"/>
    </row>
    <row r="18" spans="1:9" ht="16.5">
      <c r="A18" s="1734" t="s">
        <v>1338</v>
      </c>
      <c r="B18" s="1741">
        <f>'数据-汇总表'!G22</f>
        <v>165.07999999999998</v>
      </c>
      <c r="C18" s="1741"/>
      <c r="D18" s="1741">
        <f ca="1">'结果表-车位'!G19</f>
        <v>183</v>
      </c>
      <c r="E18" s="1736">
        <f t="shared" ca="1" si="0"/>
        <v>11086</v>
      </c>
      <c r="F18" s="1736" t="e">
        <f t="shared" ca="1" si="1"/>
        <v>#DIV/0!</v>
      </c>
      <c r="G18" s="1741"/>
      <c r="H18" s="1742">
        <f t="shared" ca="1" si="2"/>
        <v>183</v>
      </c>
      <c r="I18" s="1741"/>
    </row>
    <row r="19" spans="1:9" ht="16.5">
      <c r="A19" s="1734" t="s">
        <v>1337</v>
      </c>
      <c r="B19" s="1741"/>
      <c r="C19" s="1741"/>
      <c r="D19" s="1741"/>
      <c r="E19" s="1736" t="e">
        <f t="shared" si="0"/>
        <v>#DIV/0!</v>
      </c>
      <c r="F19" s="1736" t="e">
        <f t="shared" si="1"/>
        <v>#DIV/0!</v>
      </c>
      <c r="G19" s="1741"/>
      <c r="H19" s="1742"/>
      <c r="I19" s="1741"/>
    </row>
    <row r="20" spans="1:9" ht="16.5">
      <c r="A20" s="1734" t="s">
        <v>1336</v>
      </c>
      <c r="B20" s="1741"/>
      <c r="C20" s="1741"/>
      <c r="D20" s="1741"/>
      <c r="E20" s="1736" t="e">
        <f t="shared" si="0"/>
        <v>#DIV/0!</v>
      </c>
      <c r="F20" s="1736" t="e">
        <f t="shared" si="1"/>
        <v>#DIV/0!</v>
      </c>
      <c r="G20" s="1741"/>
      <c r="H20" s="1742"/>
      <c r="I20" s="1741"/>
    </row>
    <row r="21" spans="1:9" ht="16.5">
      <c r="A21" s="1734" t="s">
        <v>1335</v>
      </c>
      <c r="B21" s="1741"/>
      <c r="C21" s="1741"/>
      <c r="D21" s="1741"/>
      <c r="E21" s="1736" t="e">
        <f t="shared" si="0"/>
        <v>#DIV/0!</v>
      </c>
      <c r="F21" s="1736" t="e">
        <f t="shared" si="1"/>
        <v>#DIV/0!</v>
      </c>
      <c r="G21" s="1741"/>
      <c r="H21" s="1742"/>
      <c r="I21" s="1741"/>
    </row>
    <row r="22" spans="1:9" ht="16.5">
      <c r="A22" s="1734" t="s">
        <v>1334</v>
      </c>
      <c r="B22" s="1741"/>
      <c r="C22" s="1741"/>
      <c r="D22" s="1741"/>
      <c r="E22" s="1736" t="e">
        <f t="shared" si="0"/>
        <v>#DIV/0!</v>
      </c>
      <c r="F22" s="1736" t="e">
        <f t="shared" si="1"/>
        <v>#DIV/0!</v>
      </c>
      <c r="G22" s="1741"/>
      <c r="H22" s="1742"/>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c r="D1" s="2412"/>
      <c r="E1" s="2412"/>
      <c r="F1" s="2414" t="s">
        <v>2071</v>
      </c>
      <c r="G1" s="2065" t="s">
        <v>3027</v>
      </c>
      <c r="H1" s="2415" t="str">
        <f>IF(G1="现房","——","估价对象范围")</f>
        <v>——</v>
      </c>
      <c r="I1" s="2416"/>
    </row>
    <row r="2" spans="1:12" ht="21.75" customHeight="1" thickBot="1">
      <c r="A2" s="3249" t="str">
        <f>项目基本情况!S2</f>
        <v>北京市房地产</v>
      </c>
      <c r="B2" s="3250"/>
      <c r="C2" s="3250"/>
      <c r="D2" s="3250"/>
      <c r="E2" s="3250"/>
      <c r="F2" s="3250"/>
      <c r="G2" s="3250"/>
      <c r="H2" s="3250"/>
      <c r="I2" s="3251"/>
    </row>
    <row r="3" spans="1:12" ht="12.75">
      <c r="A3" s="3252" t="s">
        <v>2072</v>
      </c>
      <c r="B3" s="3253"/>
      <c r="C3" s="3253"/>
      <c r="D3" s="3253"/>
      <c r="E3" s="3253"/>
      <c r="F3" s="3253"/>
      <c r="G3" s="3253"/>
      <c r="H3" s="3253"/>
      <c r="I3" s="3253"/>
    </row>
    <row r="4" spans="1:12" ht="14.25">
      <c r="A4" s="2419" t="s">
        <v>2073</v>
      </c>
      <c r="B4" s="2420" t="s">
        <v>2074</v>
      </c>
      <c r="C4" s="2421" t="s">
        <v>3437</v>
      </c>
      <c r="D4" s="2421" t="s">
        <v>3010</v>
      </c>
      <c r="E4" s="3233" t="s">
        <v>2075</v>
      </c>
      <c r="F4" s="3246"/>
      <c r="G4" s="3246"/>
      <c r="H4" s="3246"/>
      <c r="I4" s="3234"/>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24" t="s">
        <v>2076</v>
      </c>
      <c r="B5" s="3146">
        <v>25</v>
      </c>
      <c r="C5" s="3254"/>
      <c r="D5" s="3242"/>
      <c r="E5" s="140" t="s">
        <v>2077</v>
      </c>
      <c r="F5" s="2423"/>
      <c r="G5" s="2423"/>
      <c r="H5" s="2423"/>
      <c r="I5" s="1826"/>
    </row>
    <row r="6" spans="1:12" ht="12.75">
      <c r="A6" s="3224"/>
      <c r="B6" s="3146"/>
      <c r="C6" s="3256"/>
      <c r="D6" s="3242"/>
      <c r="E6" s="140" t="s">
        <v>2078</v>
      </c>
      <c r="F6" s="2423"/>
      <c r="G6" s="2423"/>
      <c r="H6" s="2423"/>
      <c r="I6" s="1826"/>
    </row>
    <row r="7" spans="1:12" ht="12.75">
      <c r="A7" s="3224"/>
      <c r="B7" s="3146"/>
      <c r="C7" s="3255"/>
      <c r="D7" s="3242"/>
      <c r="E7" s="140" t="s">
        <v>2079</v>
      </c>
      <c r="F7" s="2423"/>
      <c r="G7" s="2423"/>
      <c r="H7" s="2423"/>
      <c r="I7" s="1826"/>
    </row>
    <row r="8" spans="1:12" ht="12.75">
      <c r="A8" s="3224" t="s">
        <v>2080</v>
      </c>
      <c r="B8" s="3146">
        <v>15</v>
      </c>
      <c r="C8" s="3254"/>
      <c r="D8" s="3242"/>
      <c r="E8" s="140" t="s">
        <v>2081</v>
      </c>
      <c r="F8" s="2423"/>
      <c r="G8" s="2423"/>
      <c r="H8" s="2423"/>
      <c r="I8" s="1826"/>
    </row>
    <row r="9" spans="1:12" ht="12.75">
      <c r="A9" s="3224"/>
      <c r="B9" s="3146"/>
      <c r="C9" s="3255"/>
      <c r="D9" s="3242"/>
      <c r="E9" s="140" t="s">
        <v>2082</v>
      </c>
      <c r="F9" s="2423"/>
      <c r="G9" s="2423"/>
      <c r="H9" s="2423"/>
      <c r="I9" s="1826"/>
    </row>
    <row r="10" spans="1:12" ht="12.75">
      <c r="A10" s="3224" t="s">
        <v>2083</v>
      </c>
      <c r="B10" s="3146">
        <v>15</v>
      </c>
      <c r="C10" s="3254"/>
      <c r="D10" s="3242"/>
      <c r="E10" s="140" t="s">
        <v>2084</v>
      </c>
      <c r="F10" s="2423"/>
      <c r="G10" s="2423"/>
      <c r="H10" s="2423"/>
      <c r="I10" s="1826"/>
    </row>
    <row r="11" spans="1:12" ht="12.75">
      <c r="A11" s="3224"/>
      <c r="B11" s="3146"/>
      <c r="C11" s="3255"/>
      <c r="D11" s="3242"/>
      <c r="E11" s="140" t="s">
        <v>2085</v>
      </c>
      <c r="F11" s="2423"/>
      <c r="G11" s="2423"/>
      <c r="H11" s="2423"/>
      <c r="I11" s="1826"/>
    </row>
    <row r="12" spans="1:12" ht="12.75">
      <c r="A12" s="3224" t="s">
        <v>2086</v>
      </c>
      <c r="B12" s="3146">
        <v>15</v>
      </c>
      <c r="C12" s="3254"/>
      <c r="D12" s="3242"/>
      <c r="E12" s="140" t="s">
        <v>2087</v>
      </c>
      <c r="F12" s="2423"/>
      <c r="G12" s="2423"/>
      <c r="H12" s="2423"/>
      <c r="I12" s="1826"/>
    </row>
    <row r="13" spans="1:12" ht="12.75">
      <c r="A13" s="3224"/>
      <c r="B13" s="3146"/>
      <c r="C13" s="3255"/>
      <c r="D13" s="3242"/>
      <c r="E13" s="140" t="s">
        <v>2088</v>
      </c>
      <c r="F13" s="2423"/>
      <c r="G13" s="2423"/>
      <c r="H13" s="2423"/>
      <c r="I13" s="1826"/>
    </row>
    <row r="14" spans="1:12" ht="12.75">
      <c r="A14" s="3224" t="s">
        <v>2089</v>
      </c>
      <c r="B14" s="3146">
        <v>30</v>
      </c>
      <c r="C14" s="3254">
        <v>5</v>
      </c>
      <c r="D14" s="3242">
        <v>5</v>
      </c>
      <c r="E14" s="140" t="s">
        <v>2090</v>
      </c>
      <c r="F14" s="2423"/>
      <c r="G14" s="2423"/>
      <c r="H14" s="2423"/>
      <c r="I14" s="1826"/>
    </row>
    <row r="15" spans="1:12" ht="12.75">
      <c r="A15" s="3224"/>
      <c r="B15" s="3146"/>
      <c r="C15" s="3256"/>
      <c r="D15" s="3242"/>
      <c r="E15" s="140" t="s">
        <v>2091</v>
      </c>
      <c r="F15" s="2423"/>
      <c r="G15" s="2423"/>
      <c r="H15" s="2423"/>
      <c r="I15" s="1826"/>
    </row>
    <row r="16" spans="1:12" ht="12.75">
      <c r="A16" s="3224"/>
      <c r="B16" s="3146"/>
      <c r="C16" s="3255"/>
      <c r="D16" s="3242"/>
      <c r="E16" s="140" t="s">
        <v>2092</v>
      </c>
      <c r="F16" s="2423"/>
      <c r="G16" s="2423"/>
      <c r="H16" s="2423"/>
      <c r="I16" s="1826"/>
    </row>
    <row r="17" spans="1:35" ht="15">
      <c r="A17" s="2424" t="s">
        <v>2093</v>
      </c>
      <c r="B17" s="64"/>
      <c r="C17" s="141">
        <f>SUM(C5:C16)</f>
        <v>5</v>
      </c>
      <c r="D17" s="141">
        <f>SUM(D5:D16)</f>
        <v>5</v>
      </c>
      <c r="E17" s="138"/>
      <c r="F17" s="138"/>
      <c r="G17" s="138"/>
      <c r="H17" s="138"/>
      <c r="I17" s="138"/>
      <c r="K17" s="2422"/>
      <c r="L17" s="2425" t="s">
        <v>2094</v>
      </c>
      <c r="M17" s="2425" t="s">
        <v>2095</v>
      </c>
    </row>
    <row r="18" spans="1:35" ht="15.75" thickBot="1">
      <c r="A18" s="2426" t="s">
        <v>2096</v>
      </c>
      <c r="B18" s="2427"/>
      <c r="C18" s="142">
        <f>ROUND(C17/SUM(C17:D17),2)</f>
        <v>0.5</v>
      </c>
      <c r="D18" s="142">
        <f>1-C18</f>
        <v>0.5</v>
      </c>
      <c r="E18" s="138"/>
      <c r="F18" s="138"/>
      <c r="G18" s="138"/>
      <c r="H18" s="138"/>
      <c r="I18" s="138"/>
      <c r="K18" s="2422" t="s">
        <v>2097</v>
      </c>
      <c r="L18" s="2422">
        <f>IF(C1="",'数据-汇总表'!E3,SUMIF(项目类型,C1,'数据-汇总表'!E17:E26)+SUMIF(项目类型,C1,'数据-汇总表'!I17:I26))</f>
        <v>21282.42</v>
      </c>
      <c r="M18" s="2422">
        <f>IF(C1="",'数据-汇总表'!E3,SUMIF(项目类型,C1,'数据-汇总表'!E17:E26))</f>
        <v>21282.42</v>
      </c>
    </row>
    <row r="19" spans="1:35" ht="15">
      <c r="A19" s="2428" t="s">
        <v>2098</v>
      </c>
      <c r="B19" s="2429" t="s">
        <v>2099</v>
      </c>
      <c r="C19" s="143">
        <f ca="1">SUMIF(INDIRECT("'"&amp;C4&amp;"'"&amp;"!A:A"),'结果表-办公'!B19,INDIRECT("'"&amp;C4&amp;"'"&amp;"!B:B"))</f>
        <v>7089</v>
      </c>
      <c r="D19" s="144">
        <f ca="1">SUMIF(INDIRECT("'"&amp;D4&amp;"'"&amp;"!A:A"),'结果表-办公'!B19,INDIRECT("'"&amp;D4&amp;"'"&amp;"!B:B"))</f>
        <v>6177</v>
      </c>
      <c r="E19" s="2428" t="s">
        <v>2100</v>
      </c>
      <c r="F19" s="2429" t="s">
        <v>2099</v>
      </c>
      <c r="G19" s="145">
        <f ca="1">ROUND(C19*$C$18+D19*$D$18,0)</f>
        <v>6633</v>
      </c>
      <c r="H19" s="2430" t="s">
        <v>2101</v>
      </c>
      <c r="I19" s="138"/>
      <c r="K19" s="2422" t="s">
        <v>2102</v>
      </c>
      <c r="L19" s="2422">
        <f>IF(C1="",'数据-汇总表'!D3,SUMIF(项目类型,C1,'数据-汇总表'!D17:D26)+SUMIF(项目类型,C1,'数据-汇总表'!H17:H27))</f>
        <v>2179.29</v>
      </c>
      <c r="M19" s="2422">
        <f>IF(C1="",'数据-汇总表'!D3,SUMIF(项目类型,C1,'数据-汇总表'!D17:D26))</f>
        <v>2179.29</v>
      </c>
    </row>
    <row r="20" spans="1:35" ht="15">
      <c r="A20" s="2431"/>
      <c r="B20" s="1243" t="s">
        <v>2103</v>
      </c>
      <c r="C20" s="146">
        <f ca="1">SUMIF(INDIRECT("'"&amp;C4&amp;"'"&amp;"!A:A"),'结果表-办公'!B20,INDIRECT("'"&amp;C4&amp;"'"&amp;"!B:B"))</f>
        <v>33774</v>
      </c>
      <c r="D20" s="147">
        <f ca="1">SUMIF(INDIRECT("'"&amp;D4&amp;"'"&amp;"!A:A"),'结果表-办公'!B20,INDIRECT("'"&amp;D4&amp;"'"&amp;"!B:B"))</f>
        <v>29428</v>
      </c>
      <c r="E20" s="2431"/>
      <c r="F20" s="1243" t="s">
        <v>2103</v>
      </c>
      <c r="G20" s="148">
        <f ca="1">ROUND(C20*$C$18+D20*$D$18,0)</f>
        <v>31601</v>
      </c>
      <c r="H20" s="976" t="s">
        <v>2104</v>
      </c>
      <c r="I20" s="138"/>
    </row>
    <row r="21" spans="1:35" ht="15" customHeight="1" thickBot="1">
      <c r="A21" s="996"/>
      <c r="B21" s="2432" t="s">
        <v>2105</v>
      </c>
      <c r="C21" s="789">
        <f ca="1">ROUND(C19*10000/L19,0)</f>
        <v>32529</v>
      </c>
      <c r="D21" s="790">
        <f ca="1">ROUND(D19*10000/L19,0)</f>
        <v>28344</v>
      </c>
      <c r="E21" s="996"/>
      <c r="F21" s="2432" t="s">
        <v>2105</v>
      </c>
      <c r="G21" s="149">
        <f ca="1">ROUND(G19*10000/L19,0)</f>
        <v>30437</v>
      </c>
      <c r="H21" s="2433" t="s">
        <v>2104</v>
      </c>
      <c r="I21" s="138"/>
    </row>
    <row r="22" spans="1:35" ht="15" thickBot="1">
      <c r="A22" s="2276" t="s">
        <v>2106</v>
      </c>
      <c r="B22" s="2434"/>
      <c r="C22" s="2435"/>
      <c r="D22" s="791">
        <f ca="1">IF(C19&lt;D19,D19/C19-1,C19/D19-1)</f>
        <v>0.14764448761534732</v>
      </c>
      <c r="E22" s="138"/>
      <c r="F22" s="138"/>
      <c r="G22" s="138"/>
      <c r="H22" s="138"/>
      <c r="I22" s="138"/>
    </row>
    <row r="23" spans="1:35" ht="13.5" thickBot="1">
      <c r="A23" s="2412"/>
      <c r="B23" s="2412"/>
      <c r="C23" s="2412"/>
      <c r="D23" s="2412"/>
      <c r="E23" s="138"/>
      <c r="F23" s="138"/>
      <c r="G23" s="138"/>
      <c r="H23" s="138"/>
      <c r="I23" s="138"/>
    </row>
    <row r="24" spans="1:35" ht="14.25">
      <c r="A24" s="3263" t="s">
        <v>2107</v>
      </c>
      <c r="B24" s="2429" t="s">
        <v>2099</v>
      </c>
      <c r="C24" s="145">
        <f>IF(B30=0,0,D30)</f>
        <v>0</v>
      </c>
      <c r="D24" s="2436"/>
      <c r="E24" s="138"/>
      <c r="F24" s="138"/>
      <c r="G24" s="138"/>
      <c r="H24" s="138"/>
      <c r="I24" s="138"/>
    </row>
    <row r="25" spans="1:35" ht="14.25">
      <c r="A25" s="3264"/>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6633</v>
      </c>
      <c r="D32" s="2443" t="s">
        <v>2114</v>
      </c>
      <c r="E32" s="138"/>
      <c r="F32" s="138"/>
      <c r="G32" s="138"/>
      <c r="H32" s="138"/>
      <c r="I32" s="138"/>
    </row>
    <row r="33" spans="1:15" ht="15">
      <c r="A33" s="953" t="s">
        <v>2115</v>
      </c>
      <c r="B33" s="2444"/>
      <c r="C33" s="2445"/>
      <c r="D33" s="2446"/>
      <c r="E33" s="2447" t="s">
        <v>2116</v>
      </c>
      <c r="F33" s="2448"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3" t="s">
        <v>2121</v>
      </c>
      <c r="B36" s="2455" t="s">
        <v>2122</v>
      </c>
      <c r="C36" s="154"/>
      <c r="D36" s="2456"/>
      <c r="E36" s="2457"/>
      <c r="F36" s="2458"/>
      <c r="G36" s="138"/>
      <c r="H36" s="138"/>
      <c r="I36" s="138"/>
    </row>
    <row r="37" spans="1:15" ht="15.75" thickBot="1">
      <c r="A37" s="3244"/>
      <c r="B37" s="2262" t="s">
        <v>2123</v>
      </c>
      <c r="C37" s="156"/>
      <c r="D37" s="1388"/>
      <c r="E37" s="1388"/>
      <c r="F37" s="2458"/>
      <c r="G37" s="138"/>
      <c r="H37" s="138"/>
      <c r="I37" s="138"/>
    </row>
    <row r="38" spans="1:15" ht="15.75" thickBot="1">
      <c r="A38" s="3245"/>
      <c r="B38" s="2459" t="s">
        <v>2124</v>
      </c>
      <c r="C38" s="727"/>
      <c r="D38" s="2460" t="s">
        <v>2125</v>
      </c>
      <c r="E38" s="1388"/>
      <c r="F38" s="2458"/>
      <c r="G38" s="138"/>
      <c r="H38" s="138"/>
      <c r="I38" s="138"/>
    </row>
    <row r="39" spans="1:15" ht="15">
      <c r="A39" s="2431" t="s">
        <v>2126</v>
      </c>
      <c r="B39" s="2461" t="s">
        <v>2127</v>
      </c>
      <c r="C39" s="2462" t="s">
        <v>2128</v>
      </c>
      <c r="D39" s="2462" t="s">
        <v>2129</v>
      </c>
      <c r="E39" s="2463" t="s">
        <v>2130</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0" t="s">
        <v>2135</v>
      </c>
      <c r="B45" s="3261"/>
      <c r="C45" s="3262"/>
      <c r="D45" s="164">
        <f ca="1">ROUND(H101*F45,0)</f>
        <v>6633</v>
      </c>
      <c r="E45" s="165" t="s">
        <v>2136</v>
      </c>
      <c r="F45" s="166">
        <v>1</v>
      </c>
      <c r="G45" s="167" t="s">
        <v>2137</v>
      </c>
      <c r="H45" s="138"/>
      <c r="I45" s="138"/>
      <c r="J45" s="3179" t="s">
        <v>2138</v>
      </c>
      <c r="K45" s="3179"/>
      <c r="L45" s="3179"/>
      <c r="M45" s="3179"/>
      <c r="N45" s="3179"/>
      <c r="O45" s="3179"/>
    </row>
    <row r="46" spans="1:15" ht="14.25" customHeight="1">
      <c r="A46" s="3257" t="s">
        <v>2139</v>
      </c>
      <c r="B46" s="3258"/>
      <c r="C46" s="3258"/>
      <c r="D46" s="3258"/>
      <c r="E46" s="3258"/>
      <c r="F46" s="3258"/>
      <c r="G46" s="3259"/>
      <c r="H46" s="2474"/>
      <c r="I46" s="168"/>
      <c r="J46" s="1804">
        <v>1</v>
      </c>
      <c r="K46" s="3179" t="s">
        <v>2140</v>
      </c>
      <c r="L46" s="3179"/>
      <c r="M46" s="3180"/>
      <c r="N46" s="3180"/>
      <c r="O46" s="3180"/>
    </row>
    <row r="47" spans="1:15" ht="12" customHeight="1">
      <c r="A47" s="169" t="s">
        <v>2141</v>
      </c>
      <c r="B47" s="170"/>
      <c r="C47" s="171"/>
      <c r="D47" s="172" t="s">
        <v>2142</v>
      </c>
      <c r="E47" s="24" t="s">
        <v>2143</v>
      </c>
      <c r="F47" s="173" t="s">
        <v>2144</v>
      </c>
      <c r="G47" s="174" t="s">
        <v>2145</v>
      </c>
      <c r="H47" s="2474"/>
      <c r="I47" s="168"/>
      <c r="J47" s="1804">
        <v>2</v>
      </c>
      <c r="K47" s="3179" t="s">
        <v>2146</v>
      </c>
      <c r="L47" s="3179"/>
      <c r="M47" s="3181">
        <f>'数据-取费表'!B2</f>
        <v>43795</v>
      </c>
      <c r="N47" s="3181"/>
      <c r="O47" s="3181"/>
    </row>
    <row r="48" spans="1:15" ht="25.5">
      <c r="A48" s="3247" t="s">
        <v>2147</v>
      </c>
      <c r="B48" s="3248"/>
      <c r="C48" s="3248"/>
      <c r="D48" s="140">
        <f>IF(H48="情况1",0,IF(H48="情况2",D52,IF(H48="情况3",D53,IF(H48="情况4",D54))))</f>
        <v>0</v>
      </c>
      <c r="E48" s="1793" t="str">
        <f>IF(H48="情况4","(销售额-原购置价)×税（费）率","销售额×税（费）率")</f>
        <v>销售额×税（费）率</v>
      </c>
      <c r="F48" s="175" t="str">
        <f>IF(H48="情况1","免征",'数据-取费表'!B41)</f>
        <v>免征</v>
      </c>
      <c r="G48" s="2475" t="s">
        <v>2148</v>
      </c>
      <c r="H48" s="2476" t="s">
        <v>2149</v>
      </c>
      <c r="I48" s="2474"/>
      <c r="J48" s="1804">
        <v>3</v>
      </c>
      <c r="K48" s="3179" t="s">
        <v>2150</v>
      </c>
      <c r="L48" s="3179"/>
      <c r="M48" s="3182">
        <f ca="1">H101</f>
        <v>6633</v>
      </c>
      <c r="N48" s="3182"/>
      <c r="O48" s="3182"/>
    </row>
    <row r="49" spans="1:35" ht="25.5" customHeight="1">
      <c r="A49" s="176" t="s">
        <v>2151</v>
      </c>
      <c r="B49" s="3227" t="s">
        <v>2152</v>
      </c>
      <c r="C49" s="3227"/>
      <c r="D49" s="177">
        <v>0</v>
      </c>
      <c r="E49" s="23" t="s">
        <v>2153</v>
      </c>
      <c r="F49" s="28" t="s">
        <v>34</v>
      </c>
      <c r="G49" s="3208"/>
      <c r="H49" s="138"/>
      <c r="I49" s="2477"/>
      <c r="J49" s="1804">
        <v>4</v>
      </c>
      <c r="K49" s="3179" t="str">
        <f>IF(项目基本情况!E8="房地产抵押价值","房地产抵押价值","抵押担保权已注销时的房地产抵押价值")</f>
        <v>抵押担保权已注销时的房地产抵押价值</v>
      </c>
      <c r="L49" s="3179"/>
      <c r="M49" s="3182">
        <f ca="1">IF(项目基本情况!E8="房地产抵押价值",H107,H109)</f>
        <v>6633</v>
      </c>
      <c r="N49" s="3182"/>
      <c r="O49" s="3182"/>
    </row>
    <row r="50" spans="1:35" ht="25.5" customHeight="1">
      <c r="A50" s="178"/>
      <c r="B50" s="3227" t="s">
        <v>2154</v>
      </c>
      <c r="C50" s="3227"/>
      <c r="D50" s="179"/>
      <c r="E50" s="31"/>
      <c r="F50" s="180"/>
      <c r="G50" s="3209"/>
      <c r="H50" s="138"/>
      <c r="I50" s="2477"/>
      <c r="J50" s="3179" t="s">
        <v>2155</v>
      </c>
      <c r="K50" s="3179"/>
      <c r="L50" s="3179"/>
      <c r="M50" s="3179"/>
      <c r="N50" s="3179"/>
      <c r="O50" s="3179"/>
    </row>
    <row r="51" spans="1:35" ht="12" customHeight="1">
      <c r="A51" s="181"/>
      <c r="B51" s="3227" t="s">
        <v>2156</v>
      </c>
      <c r="C51" s="3227"/>
      <c r="D51" s="182"/>
      <c r="E51" s="30"/>
      <c r="F51" s="180"/>
      <c r="G51" s="3210"/>
      <c r="H51" s="138"/>
      <c r="I51" s="2477"/>
      <c r="J51" s="2478" t="s">
        <v>2157</v>
      </c>
      <c r="K51" s="3179" t="s">
        <v>2158</v>
      </c>
      <c r="L51" s="3179"/>
      <c r="M51" s="2478" t="s">
        <v>2159</v>
      </c>
      <c r="N51" s="2478" t="s">
        <v>2160</v>
      </c>
      <c r="O51" s="2478" t="s">
        <v>2161</v>
      </c>
    </row>
    <row r="52" spans="1:35" ht="24" customHeight="1">
      <c r="A52" s="183" t="s">
        <v>2162</v>
      </c>
      <c r="B52" s="3227" t="s">
        <v>2163</v>
      </c>
      <c r="C52" s="3227"/>
      <c r="D52" s="182">
        <f ca="1">ROUND(D45*'数据-取费表'!B41/(1+'数据-取费表'!C42),0)</f>
        <v>354</v>
      </c>
      <c r="E52" s="11" t="s">
        <v>2164</v>
      </c>
      <c r="F52" s="184">
        <f>'数据-取费表'!B41</f>
        <v>5.6000000000000001E-2</v>
      </c>
      <c r="G52" s="2479"/>
      <c r="H52" s="138"/>
      <c r="I52" s="2477"/>
      <c r="J52" s="1804">
        <v>1</v>
      </c>
      <c r="K52" s="3202" t="s">
        <v>2165</v>
      </c>
      <c r="L52" s="3202"/>
      <c r="M52" s="1746">
        <f>D48</f>
        <v>0</v>
      </c>
      <c r="N52" s="1804" t="str">
        <f>E48</f>
        <v>销售额×税（费）率</v>
      </c>
      <c r="O52" s="1747" t="str">
        <f>F48</f>
        <v>免征</v>
      </c>
    </row>
    <row r="53" spans="1:35" ht="12" customHeight="1">
      <c r="A53" s="183" t="s">
        <v>2166</v>
      </c>
      <c r="B53" s="3228" t="s">
        <v>2167</v>
      </c>
      <c r="C53" s="3229"/>
      <c r="D53" s="182">
        <f ca="1">ROUND(D45*'数据-取费表'!B41/(1+'数据-取费表'!C42),0)</f>
        <v>354</v>
      </c>
      <c r="E53" s="11" t="s">
        <v>2164</v>
      </c>
      <c r="F53" s="184">
        <f>'数据-取费表'!B41</f>
        <v>5.6000000000000001E-2</v>
      </c>
      <c r="G53" s="2479"/>
      <c r="H53" s="138"/>
      <c r="I53" s="2477"/>
      <c r="J53" s="1804">
        <v>2</v>
      </c>
      <c r="K53" s="3202" t="s">
        <v>2168</v>
      </c>
      <c r="L53" s="3202"/>
      <c r="M53" s="1746">
        <f t="shared" ref="M53:O54" ca="1" si="0">D55</f>
        <v>3</v>
      </c>
      <c r="N53" s="1804" t="str">
        <f t="shared" si="0"/>
        <v>销售额×税（费）率</v>
      </c>
      <c r="O53" s="1747">
        <f t="shared" si="0"/>
        <v>5.0000000000000001E-4</v>
      </c>
    </row>
    <row r="54" spans="1:35" ht="12" customHeight="1">
      <c r="A54" s="183" t="s">
        <v>2169</v>
      </c>
      <c r="B54" s="3228" t="s">
        <v>2170</v>
      </c>
      <c r="C54" s="3229"/>
      <c r="D54" s="182">
        <f ca="1">C68</f>
        <v>354</v>
      </c>
      <c r="E54" s="30" t="s">
        <v>2171</v>
      </c>
      <c r="F54" s="184">
        <f>'数据-取费表'!B41</f>
        <v>5.6000000000000001E-2</v>
      </c>
      <c r="G54" s="2479"/>
      <c r="H54" s="2480"/>
      <c r="I54" s="2477"/>
      <c r="J54" s="1804">
        <v>3</v>
      </c>
      <c r="K54" s="3202" t="s">
        <v>2172</v>
      </c>
      <c r="L54" s="3202"/>
      <c r="M54" s="1746">
        <f t="shared" ca="1" si="0"/>
        <v>3754</v>
      </c>
      <c r="N54" s="1804" t="str">
        <f t="shared" si="0"/>
        <v>增值额×税（费）率</v>
      </c>
      <c r="O54" s="1748" t="str">
        <f t="shared" si="0"/>
        <v>——</v>
      </c>
    </row>
    <row r="55" spans="1:35" ht="24" customHeight="1">
      <c r="A55" s="3266" t="s">
        <v>2173</v>
      </c>
      <c r="B55" s="3248"/>
      <c r="C55" s="3248"/>
      <c r="D55" s="185">
        <f ca="1">IF(H55="个人住宅",0,ROUND(D45*I55,0))</f>
        <v>3</v>
      </c>
      <c r="E55" s="11" t="s">
        <v>2174</v>
      </c>
      <c r="F55" s="184">
        <f>IF(H55="正常",I55,"免征")</f>
        <v>5.0000000000000001E-4</v>
      </c>
      <c r="G55" s="2479"/>
      <c r="H55" s="2476" t="s">
        <v>2175</v>
      </c>
      <c r="I55" s="186">
        <f>'数据-取费表'!B49</f>
        <v>5.0000000000000001E-4</v>
      </c>
      <c r="J55" s="1804" t="str">
        <f>IF(H59="非个人房产","",4)</f>
        <v/>
      </c>
      <c r="K55" s="3202" t="str">
        <f>IF(H59="非个人房产","——","个人所得税")</f>
        <v>——</v>
      </c>
      <c r="L55" s="3202"/>
      <c r="M55" s="1749" t="str">
        <f>D59</f>
        <v>——</v>
      </c>
      <c r="N55" s="1802" t="str">
        <f>E59</f>
        <v>——</v>
      </c>
      <c r="O55" s="1750" t="str">
        <f>F59</f>
        <v>——</v>
      </c>
    </row>
    <row r="56" spans="1:35" ht="24.75">
      <c r="A56" s="3266" t="s">
        <v>2176</v>
      </c>
      <c r="B56" s="3248"/>
      <c r="C56" s="3248"/>
      <c r="D56" s="185">
        <f ca="1">IF(H56="个人住宅",D57,D58)</f>
        <v>3754</v>
      </c>
      <c r="E56" s="11" t="s">
        <v>2177</v>
      </c>
      <c r="F56" s="184" t="str">
        <f>IF(H56="正常",F58,"免征")</f>
        <v>——</v>
      </c>
      <c r="G56" s="2481" t="s">
        <v>2178</v>
      </c>
      <c r="H56" s="2482" t="s">
        <v>2175</v>
      </c>
      <c r="I56" s="2483"/>
      <c r="J56" s="1804" t="str">
        <f>IF(项目基本情况!K6="上海银行",IF(J55="",4,J55+1),"")</f>
        <v/>
      </c>
      <c r="K56" s="3185" t="str">
        <f>IF(项目基本情况!K6="上海银行","其他处置费用","")</f>
        <v/>
      </c>
      <c r="L56" s="3186"/>
      <c r="M56" s="1746" t="str">
        <f>IF(项目基本情况!K6="上海银行",M69,"")</f>
        <v/>
      </c>
      <c r="N56" s="3188" t="str">
        <f>IF(项目基本情况!K6="上海银行","包含处置中涉及的律师、诉讼、拍卖、评估等费用","")</f>
        <v/>
      </c>
      <c r="O56" s="3189"/>
    </row>
    <row r="57" spans="1:35" ht="12.75">
      <c r="A57" s="183" t="s">
        <v>2151</v>
      </c>
      <c r="B57" s="3233" t="s">
        <v>2179</v>
      </c>
      <c r="C57" s="3234"/>
      <c r="D57" s="187">
        <v>0</v>
      </c>
      <c r="E57" s="23" t="s">
        <v>2153</v>
      </c>
      <c r="F57" s="155"/>
      <c r="G57" s="2479"/>
      <c r="H57" s="2483"/>
      <c r="I57" s="2483"/>
      <c r="J57" s="3202">
        <f>IF(AND(J55="",J56=""),4,IF(项目基本情况!K6="上海银行",'结果表-办公'!J56+1,'结果表-办公'!J55+1))</f>
        <v>4</v>
      </c>
      <c r="K57" s="3202" t="s">
        <v>2180</v>
      </c>
      <c r="L57" s="2484" t="s">
        <v>2181</v>
      </c>
      <c r="M57" s="1751"/>
      <c r="N57" s="1752">
        <f ca="1">SUMIF(M52:M56,"&lt;9e307")</f>
        <v>3757</v>
      </c>
      <c r="O57" s="2485"/>
      <c r="P57" s="1745">
        <f ca="1">N57/M49</f>
        <v>0.56641037238052161</v>
      </c>
    </row>
    <row r="58" spans="1:35" ht="24.75">
      <c r="A58" s="183" t="s">
        <v>2162</v>
      </c>
      <c r="B58" s="3233" t="s">
        <v>2182</v>
      </c>
      <c r="C58" s="3246"/>
      <c r="D58" s="185">
        <f ca="1">IF(H58="转让取得",C81,C97)</f>
        <v>3754</v>
      </c>
      <c r="E58" s="11" t="s">
        <v>2177</v>
      </c>
      <c r="F58" s="24" t="s">
        <v>34</v>
      </c>
      <c r="G58" s="2479"/>
      <c r="H58" s="2482" t="s">
        <v>2183</v>
      </c>
      <c r="I58" s="2483"/>
      <c r="J58" s="3202"/>
      <c r="K58" s="3202"/>
      <c r="L58" s="2484" t="s">
        <v>2184</v>
      </c>
      <c r="M58" s="1753"/>
      <c r="N58" s="2486" t="str">
        <f ca="1">NUMBERSTRING(INT(N57*10000),2)&amp;"元整"</f>
        <v>叁仟柒佰伍拾柒万元整</v>
      </c>
      <c r="O58" s="2487"/>
    </row>
    <row r="59" spans="1:35" ht="24.75" thickBot="1">
      <c r="A59" s="3206" t="s">
        <v>2185</v>
      </c>
      <c r="B59" s="3207"/>
      <c r="C59" s="3207"/>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4">
        <f>J57+1</f>
        <v>5</v>
      </c>
      <c r="K59" s="3202" t="s">
        <v>2187</v>
      </c>
      <c r="L59" s="1804" t="s">
        <v>2181</v>
      </c>
      <c r="M59" s="1754"/>
      <c r="N59" s="1755">
        <f ca="1">M49-N57</f>
        <v>2876</v>
      </c>
      <c r="O59" s="2489"/>
    </row>
    <row r="60" spans="1:35" ht="12" customHeight="1">
      <c r="A60" s="2490"/>
      <c r="B60" s="2412"/>
      <c r="C60" s="2412"/>
      <c r="D60" s="2412"/>
      <c r="E60" s="2161"/>
      <c r="F60" s="2483"/>
      <c r="G60" s="2483"/>
      <c r="H60" s="2491"/>
      <c r="I60" s="138"/>
      <c r="J60" s="3205"/>
      <c r="K60" s="3202"/>
      <c r="L60" s="2484" t="s">
        <v>2184</v>
      </c>
      <c r="M60" s="1753"/>
      <c r="N60" s="2486" t="str">
        <f ca="1">NUMBERSTRING(INT(N59*10000),2)&amp;"元整"</f>
        <v>贰仟捌佰柒拾陆万元整</v>
      </c>
      <c r="O60" s="2487"/>
    </row>
    <row r="61" spans="1:35" ht="13.5" thickBot="1">
      <c r="A61" s="3265" t="s">
        <v>2188</v>
      </c>
      <c r="B61" s="3265"/>
      <c r="C61" s="3265"/>
      <c r="D61" s="3265"/>
      <c r="E61" s="3265"/>
      <c r="F61" s="2483"/>
      <c r="G61" s="2483"/>
      <c r="H61" s="2491"/>
      <c r="I61" s="138"/>
      <c r="J61" s="1804">
        <f>J59+1</f>
        <v>6</v>
      </c>
      <c r="K61" s="3202" t="s">
        <v>2189</v>
      </c>
      <c r="L61" s="3202"/>
      <c r="M61" s="1756"/>
      <c r="N61" s="1757">
        <f ca="1">ROUND(N59*10000/'数据-汇总表'!E3,0)</f>
        <v>1351</v>
      </c>
      <c r="O61" s="2492"/>
    </row>
    <row r="62" spans="1:35" ht="12.75">
      <c r="A62" s="3222" t="s">
        <v>2190</v>
      </c>
      <c r="B62" s="3223"/>
      <c r="C62" s="1796"/>
      <c r="D62" s="1796" t="s">
        <v>2191</v>
      </c>
      <c r="E62" s="192" t="s">
        <v>2192</v>
      </c>
      <c r="F62" s="2483"/>
      <c r="G62" s="2483"/>
      <c r="H62" s="2491"/>
      <c r="I62" s="138"/>
    </row>
    <row r="63" spans="1:35" ht="12.75">
      <c r="A63" s="203" t="s">
        <v>774</v>
      </c>
      <c r="B63" s="193" t="s">
        <v>2193</v>
      </c>
      <c r="C63" s="194">
        <f ca="1">ROUND((C64+C65)/(1+'数据-取费表'!C42),0)</f>
        <v>6317</v>
      </c>
      <c r="D63" s="195"/>
      <c r="E63" s="196"/>
      <c r="F63" s="2483"/>
      <c r="G63" s="2483"/>
      <c r="H63" s="2491"/>
      <c r="I63" s="138"/>
      <c r="J63" s="3187" t="s">
        <v>2194</v>
      </c>
      <c r="K63" s="2493" t="s">
        <v>2195</v>
      </c>
      <c r="L63" s="1744">
        <f ca="1">IF(M49&gt;10000,M49*0.5%,IF(AND(M49&gt;1000,M49&lt;=10000),M49*1%,IF(AND(M49&gt;100,M49&lt;=1000),M49*3%,IF(AND(M49&gt;10,M49&lt;=100),M49*5%,M49*8%))))</f>
        <v>66.33</v>
      </c>
      <c r="M63" s="24">
        <f ca="1">ROUND(L63,1)</f>
        <v>66.3</v>
      </c>
      <c r="Z63" s="2417"/>
      <c r="AI63" s="2418"/>
    </row>
    <row r="64" spans="1:35" ht="14.25" customHeight="1">
      <c r="A64" s="197" t="s">
        <v>769</v>
      </c>
      <c r="B64" s="198" t="s">
        <v>2196</v>
      </c>
      <c r="C64" s="199">
        <f ca="1">D45</f>
        <v>6633</v>
      </c>
      <c r="D64" s="200" t="s">
        <v>32</v>
      </c>
      <c r="E64" s="201"/>
      <c r="F64" s="2483"/>
      <c r="G64" s="2483"/>
      <c r="H64" s="2491"/>
      <c r="I64" s="138"/>
      <c r="J64" s="3187"/>
      <c r="K64" s="2493" t="s">
        <v>2197</v>
      </c>
      <c r="L64" s="1744">
        <f ca="1">IF(M49&gt;2000,M49*0.5%,IF(AND(M49&gt;1000,M49&lt;=2000),M49*0.6%,IF(AND(M49&gt;500,M49&lt;=1000),M49*0.7%,IF(AND(M49&gt;200,M49&lt;=500),M49*0.8%,IF(AND(M49&gt;100,M49&lt;=200),M49*0.9%,IF(AND(M49&gt;50,M49&lt;=100),M49*1%,IF(AND(M49&gt;20,M49&lt;=50),M49*1.5%,IF(AND(M49&gt;10,M49&lt;=20),M49*2%,IF(AND(M49&gt;1,M49&lt;=10),M49*2.5%)))))))))</f>
        <v>33.164999999999999</v>
      </c>
      <c r="M64" s="24">
        <f t="shared" ref="M64:M65" ca="1" si="1">ROUND(L64,1)</f>
        <v>33.200000000000003</v>
      </c>
      <c r="N64" s="138" t="s">
        <v>2198</v>
      </c>
      <c r="Z64" s="2417"/>
      <c r="AI64" s="2418"/>
    </row>
    <row r="65" spans="1:35" ht="14.25" customHeight="1">
      <c r="A65" s="197" t="s">
        <v>770</v>
      </c>
      <c r="B65" s="198" t="s">
        <v>2199</v>
      </c>
      <c r="C65" s="202"/>
      <c r="D65" s="200"/>
      <c r="E65" s="201"/>
      <c r="F65" s="2483"/>
      <c r="G65" s="2483"/>
      <c r="H65" s="2491"/>
      <c r="I65" s="138"/>
      <c r="J65" s="3187"/>
      <c r="K65" s="2493" t="s">
        <v>2200</v>
      </c>
      <c r="L65" s="1744">
        <f ca="1">IF(M49&gt;1000,M49*0.1%,IF(AND(M49&gt;500,M49&lt;=1000),M49*0.5%,IF(AND(M49&gt;50,M49&lt;=500),M49*1%,IF(AND(M49&gt;1,M49&lt;=50),M49*1.5%))))</f>
        <v>6.633</v>
      </c>
      <c r="M65" s="24">
        <f t="shared" ca="1" si="1"/>
        <v>6.6</v>
      </c>
      <c r="N65" s="138" t="s">
        <v>2198</v>
      </c>
      <c r="Z65" s="2417"/>
      <c r="AI65" s="2418"/>
    </row>
    <row r="66" spans="1:35" ht="14.25" customHeight="1">
      <c r="A66" s="203" t="s">
        <v>771</v>
      </c>
      <c r="B66" s="204" t="s">
        <v>2201</v>
      </c>
      <c r="C66" s="205"/>
      <c r="D66" s="206" t="s">
        <v>32</v>
      </c>
      <c r="E66" s="1768" t="s">
        <v>1363</v>
      </c>
      <c r="F66" s="2483"/>
      <c r="G66" s="2483"/>
      <c r="H66" s="2491"/>
      <c r="I66" s="138"/>
      <c r="J66" s="3187"/>
      <c r="K66" s="2493" t="s">
        <v>2202</v>
      </c>
      <c r="L66" s="1744">
        <f ca="1">M49*0.5%</f>
        <v>33.164999999999999</v>
      </c>
      <c r="M66" s="24">
        <f ca="1">IF(L66&gt;0.5,0.5,ROUND(L66,0))</f>
        <v>0.5</v>
      </c>
      <c r="N66" s="138" t="s">
        <v>2203</v>
      </c>
      <c r="Z66" s="2417"/>
      <c r="AI66" s="2418"/>
    </row>
    <row r="67" spans="1:35" ht="14.25" customHeight="1">
      <c r="A67" s="203" t="s">
        <v>772</v>
      </c>
      <c r="B67" s="204" t="s">
        <v>2204</v>
      </c>
      <c r="C67" s="207">
        <f ca="1">C63-C66</f>
        <v>6317</v>
      </c>
      <c r="D67" s="200" t="s">
        <v>32</v>
      </c>
      <c r="E67" s="201"/>
      <c r="F67" s="2483"/>
      <c r="G67" s="2483"/>
      <c r="H67" s="2491"/>
      <c r="I67" s="138"/>
      <c r="J67" s="3187"/>
      <c r="K67" s="2493" t="s">
        <v>2205</v>
      </c>
      <c r="L67" s="1744">
        <f ca="1">IF(M49&gt;=10000,(8.25+(M49-10000)*0.01%),IF(AND(M49&gt;=8000,M49&lt;10000),(7.85+(M49-8000)*0.02%),IF(AND(M49&gt;=5000,M49&lt;8000),(6.65+(M49-5000)*0.04%),IF(AND(M49&gt;=2000,M49&lt;5000),(4.25+(PM49-2000)*0.08%),IF(AND(M49&gt;=1000,M49&lt;2000),(2.75+(M49-1000)*0.15%),IF(AND(M49&gt;=100,M49&lt;1000),(0.5+(M49-100)*0.25%),IF(AND(M49&gt;0,M49&lt;100),M49*0.5%)))))))</f>
        <v>7.3032000000000004</v>
      </c>
      <c r="M67" s="24">
        <f ca="1">ROUND(L67*0.9,1)</f>
        <v>6.6</v>
      </c>
      <c r="Z67" s="2417"/>
      <c r="AI67" s="2418"/>
    </row>
    <row r="68" spans="1:35" ht="14.25" customHeight="1" thickBot="1">
      <c r="A68" s="208" t="s">
        <v>773</v>
      </c>
      <c r="B68" s="209" t="s">
        <v>2206</v>
      </c>
      <c r="C68" s="210">
        <f ca="1">IF(C67&lt;=0,0,ROUND(C67*D68,0))</f>
        <v>354</v>
      </c>
      <c r="D68" s="211">
        <f>'数据-取费表'!B41</f>
        <v>5.6000000000000001E-2</v>
      </c>
      <c r="E68" s="212"/>
      <c r="F68" s="2483"/>
      <c r="G68" s="2483"/>
      <c r="H68" s="2491"/>
      <c r="I68" s="138"/>
      <c r="J68" s="3187"/>
      <c r="K68" s="2493" t="s">
        <v>2207</v>
      </c>
      <c r="L68" s="1744">
        <f ca="1">IF(M49&gt;10000,M49*0.5%,IF(AND(M49&gt;5000,M49&lt;=10000),M49*1%,IF(AND(M49&gt;1000,M49&lt;=5000),M49*2%,IF(AND(M49&gt;200,M49&lt;=1000),M49*3%,M49*5%))))</f>
        <v>66.33</v>
      </c>
      <c r="M68" s="24">
        <f ca="1">ROUND(L68,1)</f>
        <v>66.3</v>
      </c>
      <c r="Z68" s="2417"/>
      <c r="AI68" s="2418"/>
    </row>
    <row r="69" spans="1:35" s="2440" customFormat="1" ht="16.5" customHeight="1">
      <c r="A69" s="2494"/>
      <c r="B69" s="2495"/>
      <c r="C69" s="2496"/>
      <c r="D69" s="2497"/>
      <c r="E69" s="2498"/>
      <c r="F69" s="2161"/>
      <c r="G69" s="2161"/>
      <c r="H69" s="2160"/>
      <c r="I69" s="2412"/>
      <c r="J69" s="3187"/>
      <c r="K69" s="2493" t="s">
        <v>2208</v>
      </c>
      <c r="L69" s="2499"/>
      <c r="M69" s="24">
        <f ca="1">ROUND(SUM(M63:M68),0)</f>
        <v>180</v>
      </c>
      <c r="N69" s="1745">
        <f ca="1">M69/M49</f>
        <v>2.7137042062415198E-2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1" t="s">
        <v>2209</v>
      </c>
      <c r="B70" s="3232"/>
      <c r="C70" s="3232"/>
      <c r="D70" s="3232"/>
      <c r="E70" s="3232"/>
      <c r="F70" s="3232"/>
      <c r="G70" s="3232"/>
      <c r="H70" s="32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2" t="s">
        <v>2190</v>
      </c>
      <c r="B71" s="3223"/>
      <c r="C71" s="1796"/>
      <c r="D71" s="179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6317</v>
      </c>
      <c r="D72" s="200" t="s">
        <v>32</v>
      </c>
      <c r="E72" s="1795"/>
      <c r="F72" s="1789"/>
      <c r="G72" s="17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38</v>
      </c>
      <c r="D73" s="200" t="s">
        <v>32</v>
      </c>
      <c r="E73" s="1795"/>
      <c r="F73" s="1789"/>
      <c r="G73" s="17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1795"/>
      <c r="F74" s="1789"/>
      <c r="G74" s="17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28" t="s">
        <v>2218</v>
      </c>
      <c r="F76" s="3227"/>
      <c r="G76" s="3227"/>
      <c r="H76" s="32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7" t="s">
        <v>2221</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38</v>
      </c>
      <c r="D78" s="226">
        <f>'数据-取费表'!B43</f>
        <v>6.000000000000001E-3</v>
      </c>
      <c r="E78" s="3219" t="s">
        <v>2223</v>
      </c>
      <c r="F78" s="3220"/>
      <c r="G78" s="3220"/>
      <c r="H78" s="322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6279</v>
      </c>
      <c r="D79" s="200" t="s">
        <v>32</v>
      </c>
      <c r="E79" s="1795"/>
      <c r="F79" s="1789"/>
      <c r="G79" s="17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165.23684210526315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3754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1" t="s">
        <v>2227</v>
      </c>
      <c r="B83" s="3232"/>
      <c r="C83" s="3232"/>
      <c r="D83" s="3232"/>
      <c r="E83" s="3232"/>
      <c r="F83" s="3232"/>
      <c r="G83" s="3232"/>
      <c r="H83" s="32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2" t="s">
        <v>2190</v>
      </c>
      <c r="B84" s="3223"/>
      <c r="C84" s="1796"/>
      <c r="D84" s="179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6317</v>
      </c>
      <c r="D85" s="200" t="s">
        <v>32</v>
      </c>
      <c r="E85" s="1795"/>
      <c r="F85" s="1789"/>
      <c r="G85" s="17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38</v>
      </c>
      <c r="D86" s="235"/>
      <c r="E86" s="1795"/>
      <c r="F86" s="1789"/>
      <c r="G86" s="17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179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19" t="s">
        <v>2236</v>
      </c>
      <c r="F91" s="3220"/>
      <c r="G91" s="3220"/>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19" t="s">
        <v>2240</v>
      </c>
      <c r="F92" s="3220"/>
      <c r="G92" s="3220"/>
      <c r="H92" s="322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38</v>
      </c>
      <c r="D93" s="226">
        <f>'数据-取费表'!B43</f>
        <v>6.000000000000001E-3</v>
      </c>
      <c r="E93" s="3219" t="s">
        <v>2223</v>
      </c>
      <c r="F93" s="3220"/>
      <c r="G93" s="3220"/>
      <c r="H93" s="322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67" t="s">
        <v>2244</v>
      </c>
      <c r="F94" s="3268"/>
      <c r="G94" s="3268"/>
      <c r="H94" s="326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6279</v>
      </c>
      <c r="D95" s="200" t="s">
        <v>32</v>
      </c>
      <c r="E95" s="1795"/>
      <c r="F95" s="1789"/>
      <c r="G95" s="17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165.23684210526315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3754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203"/>
      <c r="E100" s="3172" t="s">
        <v>2247</v>
      </c>
      <c r="F100" s="3172"/>
      <c r="G100" s="3172"/>
      <c r="H100" s="3203"/>
      <c r="I100" s="138"/>
    </row>
    <row r="101" spans="1:35" ht="18.75" customHeight="1">
      <c r="A101" s="3211" t="s">
        <v>2248</v>
      </c>
      <c r="B101" s="3212"/>
      <c r="C101" s="736" t="str">
        <f>C4</f>
        <v>比较法-办公</v>
      </c>
      <c r="D101" s="737" t="str">
        <f>D4</f>
        <v>收益法-办公</v>
      </c>
      <c r="E101" s="3183" t="s">
        <v>2249</v>
      </c>
      <c r="F101" s="3184"/>
      <c r="G101" s="2514" t="s">
        <v>2250</v>
      </c>
      <c r="H101" s="1041">
        <f ca="1">H118</f>
        <v>6633</v>
      </c>
      <c r="I101" s="138"/>
    </row>
    <row r="102" spans="1:35" ht="18.75" customHeight="1">
      <c r="A102" s="3213" t="s">
        <v>2251</v>
      </c>
      <c r="B102" s="2514" t="s">
        <v>2250</v>
      </c>
      <c r="C102" s="736">
        <f ca="1">C19</f>
        <v>7089</v>
      </c>
      <c r="D102" s="737">
        <f ca="1">D19</f>
        <v>6177</v>
      </c>
      <c r="E102" s="3183"/>
      <c r="F102" s="3184"/>
      <c r="G102" s="2514" t="s">
        <v>2252</v>
      </c>
      <c r="H102" s="371">
        <f ca="1">I118</f>
        <v>3117</v>
      </c>
      <c r="I102" s="138"/>
    </row>
    <row r="103" spans="1:35" ht="42.75" customHeight="1">
      <c r="A103" s="3213"/>
      <c r="B103" s="2514" t="s">
        <v>2252</v>
      </c>
      <c r="C103" s="738">
        <f ca="1">C20</f>
        <v>33774</v>
      </c>
      <c r="D103" s="739">
        <f ca="1">D20</f>
        <v>29428</v>
      </c>
      <c r="E103" s="3177" t="s">
        <v>2253</v>
      </c>
      <c r="F103" s="3178"/>
      <c r="G103" s="2515" t="s">
        <v>2254</v>
      </c>
      <c r="H103" s="1041">
        <f>IF(D36="正常操作",H104+H105+H106,H105+H106)</f>
        <v>0</v>
      </c>
      <c r="I103" s="138"/>
    </row>
    <row r="104" spans="1:35" ht="18.75" customHeight="1">
      <c r="A104" s="3213" t="s">
        <v>2255</v>
      </c>
      <c r="B104" s="2516" t="s">
        <v>2250</v>
      </c>
      <c r="C104" s="740">
        <f ca="1">H118</f>
        <v>6633</v>
      </c>
      <c r="D104" s="741"/>
      <c r="E104" s="2262" t="s">
        <v>2256</v>
      </c>
      <c r="F104" s="2253"/>
      <c r="G104" s="2515" t="s">
        <v>2254</v>
      </c>
      <c r="H104" s="1042">
        <f>IF(D36="同一抵押权人同一抵押物续贷",C36&amp;"（未扣减，详见特别提示）",C36)</f>
        <v>0</v>
      </c>
      <c r="I104" s="138"/>
    </row>
    <row r="105" spans="1:35" ht="18.75" customHeight="1" thickBot="1">
      <c r="A105" s="3225"/>
      <c r="B105" s="2517" t="s">
        <v>2252</v>
      </c>
      <c r="C105" s="742">
        <f ca="1">I118</f>
        <v>3117</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4" t="str">
        <f>IF(项目基本情况!E8="已注销","——","3.房地产抵押价值")</f>
        <v>——</v>
      </c>
      <c r="F107" s="3184"/>
      <c r="G107" s="2514" t="s">
        <v>2250</v>
      </c>
      <c r="H107" s="1041" t="str">
        <f>IF(E107="——","——",H101-H103)</f>
        <v>——</v>
      </c>
      <c r="I107" s="138"/>
    </row>
    <row r="108" spans="1:35" ht="18.75" customHeight="1">
      <c r="A108" s="138"/>
      <c r="B108" s="138"/>
      <c r="C108" s="138"/>
      <c r="D108" s="138"/>
      <c r="E108" s="3214"/>
      <c r="F108" s="3184"/>
      <c r="G108" s="2514" t="s">
        <v>2252</v>
      </c>
      <c r="H108" s="371" t="e">
        <f>ROUND(H107*10000/'数据-汇总表'!E3,0)</f>
        <v>#VALUE!</v>
      </c>
      <c r="I108" s="138"/>
    </row>
    <row r="109" spans="1:35" ht="18.75" customHeight="1">
      <c r="A109" s="138"/>
      <c r="B109" s="138"/>
      <c r="C109" s="138"/>
      <c r="D109" s="138"/>
      <c r="E109" s="3214" t="str">
        <f>IF(项目基本情况!E8="已注销及未注销","4.抵押担保权已注销时的房地产抵押价值",IF(项目基本情况!E8="已注销","3.抵押担保权已注销时的房地产抵押价值","——"))</f>
        <v>3.抵押担保权已注销时的房地产抵押价值</v>
      </c>
      <c r="F109" s="3184"/>
      <c r="G109" s="2514" t="s">
        <v>2250</v>
      </c>
      <c r="H109" s="348">
        <f ca="1">IF(E109="——","——",H101-H105-H106)</f>
        <v>6633</v>
      </c>
      <c r="I109" s="138"/>
    </row>
    <row r="110" spans="1:35" ht="18.75" customHeight="1">
      <c r="A110" s="138"/>
      <c r="B110" s="138"/>
      <c r="C110" s="138"/>
      <c r="D110" s="138"/>
      <c r="E110" s="3214"/>
      <c r="F110" s="3184"/>
      <c r="G110" s="2514" t="s">
        <v>2252</v>
      </c>
      <c r="H110" s="371">
        <f ca="1">IF(H109="——","——",ROUND(H109*10000/'数据-汇总表'!E3,0))</f>
        <v>3117</v>
      </c>
      <c r="I110" s="138"/>
    </row>
    <row r="111" spans="1:35" ht="18.75" customHeight="1">
      <c r="A111" s="138"/>
      <c r="B111" s="138"/>
      <c r="C111" s="138"/>
      <c r="D111" s="138"/>
      <c r="E111" s="3215" t="str">
        <f>IF(项目基本情况!E9="抵押净值",IF(OR(项目基本情况!E8="已注销",项目基本情况!E8="房地产抵押价值"),"4.抵押净值","5.抵押净值"),"——")</f>
        <v>——</v>
      </c>
      <c r="F111" s="3216"/>
      <c r="G111" s="2514" t="s">
        <v>2250</v>
      </c>
      <c r="H111" s="1041" t="str">
        <f>IF(E111="——","——",N59)</f>
        <v>——</v>
      </c>
      <c r="I111" s="138"/>
    </row>
    <row r="112" spans="1:35" ht="18.75" customHeight="1" thickBot="1">
      <c r="A112" s="138"/>
      <c r="B112" s="138"/>
      <c r="C112" s="138"/>
      <c r="D112" s="138"/>
      <c r="E112" s="3217"/>
      <c r="F112" s="3218"/>
      <c r="G112" s="2519" t="s">
        <v>2252</v>
      </c>
      <c r="H112" s="790" t="str">
        <f>IF(E111="——","——",N61)</f>
        <v>——</v>
      </c>
      <c r="I112" s="138"/>
    </row>
    <row r="113" spans="1:11" ht="18.75" customHeight="1">
      <c r="A113" s="138"/>
      <c r="B113" s="138"/>
      <c r="C113" s="138"/>
      <c r="D113" s="138"/>
      <c r="E113" s="3226" t="s">
        <v>2258</v>
      </c>
      <c r="F113" s="3226"/>
      <c r="G113" s="3226"/>
      <c r="H113" s="3226"/>
      <c r="I113" s="138"/>
    </row>
    <row r="114" spans="1:11" ht="3.75" customHeight="1">
      <c r="A114" s="2412"/>
      <c r="B114" s="2412"/>
      <c r="C114" s="2412"/>
      <c r="D114" s="2412"/>
      <c r="E114" s="2490"/>
      <c r="F114" s="2490"/>
      <c r="G114" s="2490"/>
      <c r="H114" s="2490"/>
      <c r="I114" s="2412"/>
    </row>
    <row r="115" spans="1:11" ht="18.75" customHeight="1">
      <c r="A115" s="3239" t="s">
        <v>2260</v>
      </c>
      <c r="B115" s="3240"/>
      <c r="C115" s="3240"/>
      <c r="D115" s="3240"/>
      <c r="E115" s="3240"/>
      <c r="F115" s="3240"/>
      <c r="G115" s="3240"/>
      <c r="H115" s="3240"/>
      <c r="I115" s="3241"/>
    </row>
    <row r="116" spans="1:11" ht="27" customHeight="1">
      <c r="A116" s="3146" t="s">
        <v>2261</v>
      </c>
      <c r="B116" s="3193" t="s">
        <v>2262</v>
      </c>
      <c r="C116" s="3193" t="s">
        <v>2263</v>
      </c>
      <c r="D116" s="3199" t="s">
        <v>2264</v>
      </c>
      <c r="E116" s="3200"/>
      <c r="F116" s="3235" t="s">
        <v>2265</v>
      </c>
      <c r="G116" s="3235"/>
      <c r="H116" s="3146" t="s">
        <v>2266</v>
      </c>
      <c r="I116" s="3146"/>
    </row>
    <row r="117" spans="1:11" ht="18.75" customHeight="1">
      <c r="A117" s="3146"/>
      <c r="B117" s="3194"/>
      <c r="C117" s="3194"/>
      <c r="D117" s="1790" t="s">
        <v>2267</v>
      </c>
      <c r="E117" s="1790" t="s">
        <v>2268</v>
      </c>
      <c r="F117" s="1790" t="s">
        <v>2267</v>
      </c>
      <c r="G117" s="1790" t="s">
        <v>2269</v>
      </c>
      <c r="H117" s="1790" t="s">
        <v>2267</v>
      </c>
      <c r="I117" s="1790" t="s">
        <v>2269</v>
      </c>
    </row>
    <row r="118" spans="1:11" ht="24.75" customHeight="1">
      <c r="A118" s="2520" t="str">
        <f>项目基本情况!S2</f>
        <v>北京市房地产</v>
      </c>
      <c r="B118" s="1790">
        <f>M18</f>
        <v>21282.42</v>
      </c>
      <c r="C118" s="1790">
        <f>M19</f>
        <v>2179.29</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6633</v>
      </c>
      <c r="I118" s="1790">
        <f ca="1">ROUND(IF(D32="楼面单价",C32,H118*10000/B118),0)</f>
        <v>3117</v>
      </c>
    </row>
    <row r="119" spans="1:11" ht="18.75" customHeight="1">
      <c r="A119" s="3146" t="s">
        <v>2270</v>
      </c>
      <c r="B119" s="3146"/>
      <c r="C119" s="3146"/>
      <c r="D119" s="3195" t="e">
        <f ca="1">NUMBERSTRING(INT(D118*10000),2)&amp;"元整"</f>
        <v>#REF!</v>
      </c>
      <c r="E119" s="3196"/>
      <c r="F119" s="3195" t="e">
        <f ca="1">NUMBERSTRING(INT(F118*10000),2)&amp;"元整"</f>
        <v>#REF!</v>
      </c>
      <c r="G119" s="3196"/>
      <c r="H119" s="3195" t="str">
        <f ca="1">NUMBERSTRING(INT(H118*10000),2)&amp;"元整"</f>
        <v>陆仟陆佰叁拾叁万元整</v>
      </c>
      <c r="I119" s="3196"/>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7" t="str">
        <f>IF(D120=0,"故，本次评估不存在"&amp;A120,"故，本次评估"&amp;A120&amp;"为人民币"&amp;D120&amp;"万元整。")</f>
        <v>故，本次评估不存在估价师知悉的法定优先受偿款</v>
      </c>
    </row>
    <row r="121" spans="1:11" ht="18.75" customHeight="1">
      <c r="A121" s="3236" t="s">
        <v>2270</v>
      </c>
      <c r="B121" s="3237"/>
      <c r="C121" s="3238"/>
      <c r="D121" s="3195" t="str">
        <f>IF(D120=0,"零元整",NUMBERSTRING(INT(D120*10000),2)&amp;"元整")</f>
        <v>零元整</v>
      </c>
      <c r="E121" s="3197"/>
      <c r="F121" s="3197"/>
      <c r="G121" s="3197"/>
      <c r="H121" s="3197"/>
      <c r="I121" s="3196"/>
    </row>
    <row r="122" spans="1:11" ht="18.75" customHeight="1">
      <c r="A122" s="3201" t="str">
        <f>IF(项目基本情况!B9="房地产市场价值","",MID(E107,3,LEN(E107)-2))</f>
        <v/>
      </c>
      <c r="B122" s="3201"/>
      <c r="C122" s="3201"/>
      <c r="D122" s="3190" t="str">
        <f>H107</f>
        <v>——</v>
      </c>
      <c r="E122" s="3191"/>
      <c r="F122" s="3191"/>
      <c r="G122" s="3191"/>
      <c r="H122" s="3191"/>
      <c r="I122" s="3192"/>
    </row>
    <row r="123" spans="1:11" ht="18.75" customHeight="1">
      <c r="A123" s="3146" t="s">
        <v>2270</v>
      </c>
      <c r="B123" s="3146"/>
      <c r="C123" s="3146"/>
      <c r="D123" s="3195" t="e">
        <f>NUMBERSTRING(INT(D122*10000),2)&amp;"元整"</f>
        <v>#VALUE!</v>
      </c>
      <c r="E123" s="3197"/>
      <c r="F123" s="3197"/>
      <c r="G123" s="3197"/>
      <c r="H123" s="3197"/>
      <c r="I123" s="3196"/>
    </row>
    <row r="124" spans="1:11" ht="18.75" customHeight="1">
      <c r="A124" s="3201" t="str">
        <f>IF(项目基本情况!B9="房地产市场价值","",MID(E109,3,LEN(E109)-2))</f>
        <v>抵押担保权已注销时的房地产抵押价值</v>
      </c>
      <c r="B124" s="3201"/>
      <c r="C124" s="3201"/>
      <c r="D124" s="3190">
        <f ca="1">H109</f>
        <v>6633</v>
      </c>
      <c r="E124" s="3191"/>
      <c r="F124" s="3191"/>
      <c r="G124" s="3191"/>
      <c r="H124" s="3191"/>
      <c r="I124" s="3192"/>
    </row>
    <row r="125" spans="1:11" ht="18.75" customHeight="1">
      <c r="A125" s="3146" t="s">
        <v>2270</v>
      </c>
      <c r="B125" s="3146"/>
      <c r="C125" s="3146"/>
      <c r="D125" s="3195" t="str">
        <f ca="1">NUMBERSTRING(INT(D124*10000),2)&amp;"元整"</f>
        <v>陆仟陆佰叁拾叁万元整</v>
      </c>
      <c r="E125" s="3197"/>
      <c r="F125" s="3197"/>
      <c r="G125" s="3197"/>
      <c r="H125" s="3197"/>
      <c r="I125" s="3196"/>
    </row>
    <row r="126" spans="1:11" ht="18.75" customHeight="1">
      <c r="A126" s="3201" t="str">
        <f>IF(项目基本情况!B9="房地产市场价值","",MID(E111,3,LEN(E111)-2))</f>
        <v/>
      </c>
      <c r="B126" s="3201"/>
      <c r="C126" s="3201"/>
      <c r="D126" s="3190" t="str">
        <f>H111</f>
        <v>——</v>
      </c>
      <c r="E126" s="3191"/>
      <c r="F126" s="3191"/>
      <c r="G126" s="3191"/>
      <c r="H126" s="3191"/>
      <c r="I126" s="3192"/>
    </row>
    <row r="127" spans="1:11" ht="18.75" customHeight="1">
      <c r="A127" s="3146" t="s">
        <v>2270</v>
      </c>
      <c r="B127" s="3146"/>
      <c r="C127" s="3146"/>
      <c r="D127" s="3195" t="e">
        <f>NUMBERSTRING(INT(D126*10000),2)&amp;"元整"</f>
        <v>#VALUE!</v>
      </c>
      <c r="E127" s="3197"/>
      <c r="F127" s="3197"/>
      <c r="G127" s="3197"/>
      <c r="H127" s="3197"/>
      <c r="I127" s="3196"/>
    </row>
    <row r="128" spans="1:11" ht="21.75" customHeight="1">
      <c r="A128" s="3198" t="s">
        <v>2271</v>
      </c>
      <c r="B128" s="3198"/>
      <c r="C128" s="3198"/>
      <c r="D128" s="3198"/>
      <c r="E128" s="3198"/>
      <c r="F128" s="3198"/>
      <c r="G128" s="3198"/>
      <c r="H128" s="3198"/>
      <c r="I128" s="319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80" t="str">
        <f>项目基本情况!B1</f>
        <v>北京市房地产抵押价值预评估</v>
      </c>
      <c r="C37" s="3080"/>
      <c r="D37" s="3080"/>
      <c r="E37" s="3080"/>
      <c r="F37" s="3080"/>
      <c r="G37" s="3080"/>
      <c r="H37" s="3080"/>
      <c r="I37" s="3080"/>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郑燚（注册号：1120070131)、崔锴（注册号：1120100036)</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1"/>
      <c r="C1" s="2549" t="s">
        <v>2381</v>
      </c>
      <c r="D1" s="242"/>
      <c r="E1" s="242"/>
      <c r="F1" s="242"/>
      <c r="G1" s="1375">
        <f>MATCH(B1,'数据-取费表'!A6:A16,0)+5</f>
        <v>12</v>
      </c>
      <c r="H1" s="1278" t="str">
        <f>IF(ISERROR(FIND("住宅",B1)),"非住宅","住宅")</f>
        <v>非住宅</v>
      </c>
    </row>
    <row r="2" spans="1:8" s="244" customFormat="1" ht="18" customHeight="1">
      <c r="A2" s="245" t="s">
        <v>2280</v>
      </c>
      <c r="B2" s="246">
        <f ca="1">ROUND(IF(D2="——",C52/10000,C52/10000-E2),0)</f>
        <v>7163</v>
      </c>
      <c r="C2" s="243" t="s">
        <v>2281</v>
      </c>
      <c r="D2" s="2543" t="s">
        <v>70</v>
      </c>
      <c r="E2" s="1435" t="e">
        <f ca="1">SUMIF(INDIRECT("'"&amp;G2&amp;"'"&amp;"!A:A"),"承租人权益价值",INDIRECT("'"&amp;G2&amp;"'"&amp;"!c:c"))</f>
        <v>#REF!</v>
      </c>
      <c r="F2" s="2544" t="s">
        <v>2281</v>
      </c>
      <c r="G2" s="2545"/>
    </row>
    <row r="3" spans="1:8" s="244" customFormat="1" ht="18" customHeight="1" thickBot="1">
      <c r="A3" s="247" t="s">
        <v>2282</v>
      </c>
      <c r="B3" s="248">
        <f ca="1">ROUND(B2*10000/(IF(B1="",'数据-汇总表'!E3,INDIRECT("'数据-取费表'!k"&amp;$G$1))),0)</f>
        <v>3366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4256484</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4256484</v>
      </c>
      <c r="D8" s="266"/>
      <c r="E8" s="264"/>
      <c r="F8" s="265"/>
      <c r="G8" s="2546"/>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190</v>
      </c>
      <c r="F9" s="265"/>
      <c r="G9" s="270"/>
    </row>
    <row r="10" spans="1:8" s="258" customFormat="1" ht="13.5" customHeight="1">
      <c r="A10" s="946" t="s">
        <v>800</v>
      </c>
      <c r="B10" s="268" t="s">
        <v>2298</v>
      </c>
      <c r="C10" s="269">
        <f ca="1">ROUND(D10*E10,0)</f>
        <v>4256484</v>
      </c>
      <c r="D10" s="1028">
        <f ca="1">IF(B1="",'数据-汇总表'!E6,IF(INDIRECT("'数据-取费表'!c"&amp;$G$1)="住宅",INDIRECT("'数据-取费表'!s"&amp;$G$1),INDIRECT("'数据-取费表'!k"&amp;$G$1)+INDIRECT("'数据-取费表'!s"&amp;$G$1)))</f>
        <v>21282.42</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4256484</v>
      </c>
      <c r="D19" s="1032">
        <f ca="1">D9+D10</f>
        <v>21282.42</v>
      </c>
      <c r="E19" s="255">
        <f>'数据-取费表'!B31</f>
        <v>200</v>
      </c>
      <c r="F19" s="275"/>
      <c r="G19" s="2546"/>
    </row>
    <row r="20" spans="1:7" s="258" customFormat="1" ht="13.5" customHeight="1">
      <c r="A20" s="299" t="s">
        <v>2392</v>
      </c>
      <c r="B20" s="254" t="s">
        <v>2393</v>
      </c>
      <c r="C20" s="276">
        <f ca="1">ROUND((C5+C19)*F20,0)</f>
        <v>170259</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836027</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413970</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413970</v>
      </c>
      <c r="D24" s="282"/>
      <c r="E24" s="282"/>
      <c r="F24" s="283"/>
      <c r="G24" s="284" t="s">
        <v>2404</v>
      </c>
    </row>
    <row r="25" spans="1:7" s="258" customFormat="1" ht="24">
      <c r="A25" s="947" t="s">
        <v>2294</v>
      </c>
      <c r="B25" s="259" t="s">
        <v>2405</v>
      </c>
      <c r="C25" s="1377">
        <f ca="1">ROUND(IF('数据-取费表'!B22&lt;=1,C20*F22*'数据-取费表'!B22/2,C20*(POWER((1+F22),'数据-取费表'!B22/2)-1)),0)</f>
        <v>8087</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1389316</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ROUND((C5+C19+C20)*F27,0)</f>
        <v>1389316</v>
      </c>
      <c r="D28" s="279"/>
      <c r="E28" s="280"/>
      <c r="F28" s="290"/>
      <c r="G28" s="291"/>
    </row>
    <row r="29" spans="1:7" s="258" customFormat="1" ht="13.5" customHeight="1">
      <c r="A29" s="947" t="s">
        <v>791</v>
      </c>
      <c r="B29" s="292" t="s">
        <v>2335</v>
      </c>
      <c r="C29" s="282">
        <f ca="1">ROUND(C21*F27,4)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11825008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72253816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63847260</v>
      </c>
      <c r="D34" s="261"/>
      <c r="E34" s="264"/>
      <c r="F34" s="301"/>
      <c r="G34" s="263"/>
    </row>
    <row r="35" spans="1:7" ht="13.5" customHeight="1">
      <c r="A35" s="947" t="s">
        <v>795</v>
      </c>
      <c r="B35" s="259" t="s">
        <v>2345</v>
      </c>
      <c r="C35" s="264">
        <f ca="1">ROUND(C34*F35,0)</f>
        <v>3192363</v>
      </c>
      <c r="D35" s="264"/>
      <c r="E35" s="264"/>
      <c r="F35" s="303">
        <f>'数据-取费表'!B33</f>
        <v>0.05</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4256484</v>
      </c>
      <c r="D37" s="261">
        <f ca="1">D19</f>
        <v>21282.42</v>
      </c>
      <c r="E37" s="293">
        <f>'数据-取费表'!B35</f>
        <v>200</v>
      </c>
      <c r="F37" s="303"/>
      <c r="G37" s="305"/>
    </row>
    <row r="38" spans="1:7" ht="13.5" customHeight="1">
      <c r="A38" s="947" t="s">
        <v>798</v>
      </c>
      <c r="B38" s="259" t="s">
        <v>2351</v>
      </c>
      <c r="C38" s="264">
        <f ca="1">ROUND(C34*F38,0)</f>
        <v>957709</v>
      </c>
      <c r="D38" s="264"/>
      <c r="E38" s="264"/>
      <c r="F38" s="303">
        <f>'数据-取费表'!B36</f>
        <v>1.4999999999999999E-2</v>
      </c>
      <c r="G38" s="263" t="s">
        <v>2346</v>
      </c>
    </row>
    <row r="39" spans="1:7" s="258" customFormat="1" ht="13.5" customHeight="1">
      <c r="A39" s="299" t="s">
        <v>2352</v>
      </c>
      <c r="B39" s="254" t="s">
        <v>2353</v>
      </c>
      <c r="C39" s="276">
        <f ca="1">ROUND(C33*F20,0)</f>
        <v>1445076</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3500697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3432056</v>
      </c>
      <c r="D42" s="282"/>
      <c r="E42" s="282"/>
      <c r="F42" s="283"/>
      <c r="G42" s="3270" t="s">
        <v>2409</v>
      </c>
    </row>
    <row r="43" spans="1:7" ht="13.5" customHeight="1">
      <c r="A43" s="947" t="s">
        <v>791</v>
      </c>
      <c r="B43" s="259" t="s">
        <v>2363</v>
      </c>
      <c r="C43" s="282">
        <f ca="1">ROUND(IF('数据-取费表'!B22&lt;=1,C39*F22*'数据-取费表'!B20/2,C39*(POWER((1+F22),'数据-取费表'!B20/2)-1)),0)</f>
        <v>68641</v>
      </c>
      <c r="D43" s="282"/>
      <c r="E43" s="282"/>
      <c r="F43" s="283"/>
      <c r="G43" s="3271"/>
    </row>
    <row r="44" spans="1:7" ht="13.5" customHeight="1">
      <c r="A44" s="947" t="s">
        <v>792</v>
      </c>
      <c r="B44" s="259" t="s">
        <v>2364</v>
      </c>
      <c r="C44" s="282">
        <f ca="1">ROUND(IF('数据-取费表'!B22&lt;=1,C40*F22*'数据-取费表'!B20/2,C40*(POWER((1+F22),'数据-取费表'!B20/2)-1)),4)</f>
        <v>1E-3</v>
      </c>
      <c r="D44" s="282"/>
      <c r="E44" s="282"/>
      <c r="F44" s="283"/>
      <c r="G44" s="3272"/>
    </row>
    <row r="45" spans="1:7" s="258" customFormat="1" ht="13.5" customHeight="1">
      <c r="A45" s="299" t="s">
        <v>2365</v>
      </c>
      <c r="B45" s="288" t="s">
        <v>2331</v>
      </c>
      <c r="C45" s="289">
        <f ca="1">C46</f>
        <v>11791823</v>
      </c>
      <c r="D45" s="279">
        <f ca="1">C47</f>
        <v>3.2000000000000002E-3</v>
      </c>
      <c r="E45" s="280" t="s">
        <v>2357</v>
      </c>
      <c r="F45" s="290"/>
      <c r="G45" s="291" t="s">
        <v>2366</v>
      </c>
    </row>
    <row r="46" spans="1:7" s="258" customFormat="1" ht="13.5" customHeight="1">
      <c r="A46" s="947" t="s">
        <v>790</v>
      </c>
      <c r="B46" s="292" t="s">
        <v>2367</v>
      </c>
      <c r="C46" s="293">
        <f ca="1">ROUND((C33+C39)*F27,0)</f>
        <v>11791823</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96467655</v>
      </c>
      <c r="D49" s="276"/>
      <c r="E49" s="276"/>
      <c r="F49" s="308"/>
      <c r="G49" s="278" t="s">
        <v>2372</v>
      </c>
    </row>
    <row r="50" spans="1:7" s="302" customFormat="1">
      <c r="A50" s="299" t="s">
        <v>2373</v>
      </c>
      <c r="B50" s="254" t="s">
        <v>2374</v>
      </c>
      <c r="C50" s="276"/>
      <c r="D50" s="276"/>
      <c r="E50" s="276"/>
      <c r="F50" s="308">
        <f>IF('数据-取费表'!B24=0,'数据-取费表'!N16,1)</f>
        <v>0.62</v>
      </c>
      <c r="G50" s="291"/>
    </row>
    <row r="51" spans="1:7" ht="16.5" customHeight="1">
      <c r="A51" s="299" t="s">
        <v>2376</v>
      </c>
      <c r="B51" s="254" t="s">
        <v>2411</v>
      </c>
      <c r="C51" s="276">
        <f ca="1">ROUND(C49*F50,0)</f>
        <v>59809946</v>
      </c>
      <c r="D51" s="276"/>
      <c r="E51" s="276"/>
      <c r="F51" s="308"/>
      <c r="G51" s="278" t="s">
        <v>2378</v>
      </c>
    </row>
    <row r="52" spans="1:7" s="252" customFormat="1" ht="16.5" thickBot="1">
      <c r="A52" s="309" t="s">
        <v>2379</v>
      </c>
      <c r="B52" s="310"/>
      <c r="C52" s="311">
        <f ca="1">C31+C51</f>
        <v>71634954</v>
      </c>
      <c r="D52" s="310"/>
      <c r="E52" s="310"/>
      <c r="F52" s="310"/>
      <c r="G52" s="312"/>
    </row>
    <row r="55" spans="1:7" ht="15">
      <c r="B55" s="314" t="s">
        <v>2380</v>
      </c>
      <c r="C55" s="315"/>
    </row>
    <row r="56" spans="1:7">
      <c r="B56" s="317" t="s">
        <v>1504</v>
      </c>
      <c r="C56" s="319">
        <f ca="1">1-C57</f>
        <v>0.16500000000000004</v>
      </c>
    </row>
    <row r="57" spans="1:7">
      <c r="B57" s="317" t="s">
        <v>1505</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6"/>
      <c r="C1" s="1577"/>
      <c r="D1" s="1575"/>
      <c r="E1" s="320"/>
      <c r="F1" s="320"/>
      <c r="G1" s="1576"/>
      <c r="H1" s="320"/>
      <c r="I1" s="320"/>
      <c r="J1" s="320"/>
      <c r="K1" s="320">
        <f>MATCH(C1,'数据-取费表'!A6:A16,0)+5</f>
        <v>12</v>
      </c>
    </row>
    <row r="2" spans="1:33" ht="18" customHeight="1">
      <c r="A2" s="245" t="s">
        <v>2280</v>
      </c>
      <c r="B2" s="248">
        <f ca="1">C32</f>
        <v>-491</v>
      </c>
      <c r="C2" s="320" t="s">
        <v>2413</v>
      </c>
      <c r="D2" s="320"/>
      <c r="E2" s="320"/>
      <c r="F2" s="320"/>
      <c r="G2" s="320"/>
      <c r="H2" s="320"/>
      <c r="I2" s="320"/>
      <c r="J2" s="320"/>
      <c r="K2" s="320"/>
    </row>
    <row r="3" spans="1:33" ht="18" customHeight="1" thickBot="1">
      <c r="A3" s="247" t="s">
        <v>2282</v>
      </c>
      <c r="B3" s="248">
        <f ca="1">ROUND(B2*10000/IF(C1="",'数据-汇总表'!E3,INDIRECT("'数据-取费表'!K"&amp;$K$1)),0)</f>
        <v>-231</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0" t="s">
        <v>2418</v>
      </c>
      <c r="D5" s="2550" t="s">
        <v>2419</v>
      </c>
      <c r="E5" s="2550" t="s">
        <v>2420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0.05</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21282.42</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21282.42</v>
      </c>
      <c r="E17" s="24">
        <f>'数据-取费表'!B32</f>
        <v>0</v>
      </c>
      <c r="F17" s="974"/>
      <c r="G17" s="140" t="s">
        <v>2444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426</v>
      </c>
      <c r="D18" s="1029"/>
      <c r="E18" s="24"/>
      <c r="F18" s="972"/>
      <c r="G18" s="2552"/>
      <c r="H18" s="1572"/>
      <c r="I18" s="2553"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190</v>
      </c>
      <c r="F19" s="972"/>
      <c r="G19" s="15"/>
      <c r="H19" s="1574"/>
      <c r="I19" s="977"/>
      <c r="J19" s="977"/>
      <c r="K19" s="978"/>
    </row>
    <row r="20" spans="1:33" s="971" customFormat="1" ht="13.5" customHeight="1">
      <c r="A20" s="967" t="s">
        <v>805</v>
      </c>
      <c r="B20" s="968" t="s">
        <v>2448</v>
      </c>
      <c r="C20" s="24">
        <f ca="1">ROUND(D20*E20/10000,0)</f>
        <v>426</v>
      </c>
      <c r="D20" s="1029">
        <f ca="1">IF(C1="",'数据-汇总表'!E6,IF(INDIRECT("'数据-取费表'!c"&amp;$K$1)="住宅",INDIRECT("'数据-取费表'!s"&amp;$K$1),INDIRECT("'数据-取费表'!k"&amp;$K$1)+INDIRECT("'数据-取费表'!s"&amp;$K$1)))</f>
        <v>21282.42</v>
      </c>
      <c r="E20" s="24">
        <f>'数据-取费表'!B28</f>
        <v>200</v>
      </c>
      <c r="F20" s="972"/>
      <c r="G20" s="15"/>
      <c r="H20" s="977"/>
      <c r="I20" s="977"/>
      <c r="J20" s="977"/>
      <c r="K20" s="978"/>
    </row>
    <row r="21" spans="1:33" s="971" customFormat="1" ht="13.5" customHeight="1">
      <c r="A21" s="957" t="s">
        <v>801</v>
      </c>
      <c r="B21" s="981" t="s">
        <v>2449</v>
      </c>
      <c r="C21" s="982">
        <f ca="1">C16+C17+C18</f>
        <v>426</v>
      </c>
      <c r="D21" s="983"/>
      <c r="E21" s="325"/>
      <c r="F21" s="325"/>
      <c r="G21" s="140" t="s">
        <v>2450</v>
      </c>
      <c r="H21" s="975"/>
      <c r="I21" s="975"/>
      <c r="J21" s="975"/>
      <c r="K21" s="976"/>
    </row>
    <row r="22" spans="1:33" s="971" customFormat="1" ht="13.5" customHeight="1">
      <c r="A22" s="957" t="s">
        <v>2422</v>
      </c>
      <c r="B22" s="981" t="s">
        <v>2451</v>
      </c>
      <c r="C22" s="982">
        <f ca="1">ROUND(C21*F22,0)</f>
        <v>9</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2462</v>
      </c>
      <c r="B28" s="2555" t="s">
        <v>2463</v>
      </c>
      <c r="C28" s="331">
        <f ca="1">C30</f>
        <v>70</v>
      </c>
      <c r="D28" s="324">
        <f ca="1">C29</f>
        <v>0</v>
      </c>
      <c r="E28" s="326" t="s">
        <v>15</v>
      </c>
      <c r="F28" s="332">
        <f ca="1">IF(C1="",'数据-取费表'!Q16,INDIRECT("'数据-取费表'!q"&amp;$K$1))</f>
        <v>0.16</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70</v>
      </c>
      <c r="D30" s="328"/>
      <c r="E30" s="329"/>
      <c r="F30" s="334"/>
      <c r="G30" s="140"/>
      <c r="H30" s="975"/>
      <c r="I30" s="975"/>
      <c r="J30" s="975"/>
      <c r="K30" s="976"/>
    </row>
    <row r="31" spans="1:33" s="971" customFormat="1" ht="13.5" customHeight="1" thickBot="1">
      <c r="A31" s="2556"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-491</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c r="D1" s="1815"/>
      <c r="E1" s="1816" t="s">
        <v>1378</v>
      </c>
      <c r="F1" s="1279">
        <f ca="1">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4"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273" t="s">
        <v>1394</v>
      </c>
      <c r="C6" s="1292">
        <f ca="1">ROUND(F6*F8*F7*(1-F9),0)</f>
        <v>0</v>
      </c>
      <c r="D6" s="164" t="s">
        <v>2978</v>
      </c>
      <c r="E6" s="347" t="s">
        <v>1396</v>
      </c>
      <c r="F6" s="348">
        <f ca="1">INDIRECT("'数据-取费表'!u"&amp;$G$1)</f>
        <v>0</v>
      </c>
      <c r="G6" s="1846"/>
      <c r="H6" s="1287" t="s">
        <v>1031</v>
      </c>
      <c r="I6" s="3273" t="s">
        <v>1394</v>
      </c>
      <c r="J6" s="346">
        <f ca="1">ROUND(M6*M8*M7*(1-M9),0)</f>
        <v>0</v>
      </c>
      <c r="K6" s="1829" t="s">
        <v>2979</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0</v>
      </c>
      <c r="G7" s="1846"/>
      <c r="H7" s="349"/>
      <c r="I7" s="3274"/>
      <c r="J7" s="351"/>
      <c r="K7" s="352"/>
      <c r="L7" s="347" t="s">
        <v>1397</v>
      </c>
      <c r="M7" s="348">
        <f ca="1">F7</f>
        <v>0</v>
      </c>
    </row>
    <row r="8" spans="1:37" ht="18" customHeight="1">
      <c r="A8" s="349"/>
      <c r="B8" s="3274"/>
      <c r="C8" s="351"/>
      <c r="D8" s="352"/>
      <c r="E8" s="347" t="s">
        <v>1398</v>
      </c>
      <c r="F8" s="348">
        <f ca="1">INDIRECT("'数据-取费表'!ai"&amp;$G$1)</f>
        <v>0</v>
      </c>
      <c r="G8" s="1846"/>
      <c r="H8" s="349"/>
      <c r="I8" s="3274"/>
      <c r="J8" s="351"/>
      <c r="K8" s="352"/>
      <c r="L8" s="347" t="s">
        <v>1398</v>
      </c>
      <c r="M8" s="348">
        <f ca="1">INDIRECT("'数据-取费表'!ai"&amp;$G$1)</f>
        <v>0</v>
      </c>
    </row>
    <row r="9" spans="1:37" ht="18" customHeight="1">
      <c r="A9" s="349"/>
      <c r="B9" s="3275"/>
      <c r="C9" s="351"/>
      <c r="D9" s="352"/>
      <c r="E9" s="347" t="s">
        <v>1399</v>
      </c>
      <c r="F9" s="357">
        <f ca="1">INDIRECT("'数据-取费表'!w"&amp;$G$1)</f>
        <v>0</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2989</v>
      </c>
      <c r="E10" s="358" t="s">
        <v>1401</v>
      </c>
      <c r="F10" s="1362"/>
      <c r="G10" s="1846"/>
      <c r="H10" s="1287" t="s">
        <v>1035</v>
      </c>
      <c r="I10" s="1818" t="s">
        <v>1400</v>
      </c>
      <c r="J10" s="346">
        <f ca="1">ROUND(IF(M10="押一",J6/12*M11,IF(M10="押二",J6/12*2*M11,IF(M10="押三",J6/12*3*M11,J11*M11))),0)</f>
        <v>0</v>
      </c>
      <c r="K10" s="1830" t="s">
        <v>2991</v>
      </c>
      <c r="L10" s="358" t="s">
        <v>1401</v>
      </c>
      <c r="M10" s="1362"/>
    </row>
    <row r="11" spans="1:37" ht="18" customHeight="1">
      <c r="A11" s="353"/>
      <c r="B11" s="1820" t="s">
        <v>1593</v>
      </c>
      <c r="C11" s="1174"/>
      <c r="D11" s="352"/>
      <c r="E11" s="358" t="s">
        <v>1403</v>
      </c>
      <c r="F11" s="359">
        <f ca="1">'数据-取费表'!B39</f>
        <v>1.4999999999999999E-2</v>
      </c>
      <c r="G11" s="1846"/>
      <c r="H11" s="1295"/>
      <c r="I11" s="1820" t="s">
        <v>1594</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7" t="s">
        <v>1030</v>
      </c>
      <c r="B14" s="347" t="s">
        <v>1408</v>
      </c>
      <c r="C14" s="363">
        <f ca="1">ROUND(INDIRECT("'数据-取费表'!l"&amp;$G$1)*F43+'数据-取费表'!L14*INDIRECT("'数据-取费表'!S"&amp;$G$1),0)</f>
        <v>0</v>
      </c>
      <c r="D14" s="1795" t="s">
        <v>1409</v>
      </c>
      <c r="E14" s="1789"/>
      <c r="F14" s="364"/>
      <c r="G14" s="1846"/>
      <c r="H14" s="1197" t="s">
        <v>1031</v>
      </c>
      <c r="I14" s="347" t="s">
        <v>1410</v>
      </c>
      <c r="J14" s="24">
        <f ca="1">C29</f>
        <v>0</v>
      </c>
      <c r="K14" s="15"/>
      <c r="L14" s="975"/>
      <c r="M14" s="976"/>
    </row>
    <row r="15" spans="1:37" s="1853" customFormat="1" ht="18" customHeight="1" thickBot="1">
      <c r="A15" s="1197"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7" t="s">
        <v>1381</v>
      </c>
      <c r="B17" s="347" t="s">
        <v>1417</v>
      </c>
      <c r="C17" s="24">
        <f ca="1">ROUND(F17*(F43+INDIRECT("'数据-取费表'!S"&amp;$G$1)),0)</f>
        <v>0</v>
      </c>
      <c r="D17" s="347" t="s">
        <v>1418</v>
      </c>
      <c r="E17" s="347" t="s">
        <v>1419</v>
      </c>
      <c r="F17" s="26">
        <f>'数据-取费表'!B35</f>
        <v>200</v>
      </c>
      <c r="G17" s="1849"/>
      <c r="H17" s="1197"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0</v>
      </c>
      <c r="D18" s="347" t="s">
        <v>1412</v>
      </c>
      <c r="E18" s="347" t="s">
        <v>1413</v>
      </c>
      <c r="F18" s="367">
        <f>'数据-取费表'!B36</f>
        <v>1.4999999999999999E-2</v>
      </c>
      <c r="G18" s="1849"/>
      <c r="H18" s="1197"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0</v>
      </c>
      <c r="D19" s="140" t="s">
        <v>1427</v>
      </c>
      <c r="E19" s="1813"/>
      <c r="F19" s="26"/>
      <c r="G19" s="1846"/>
      <c r="H19" s="1197"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7" t="s">
        <v>1035</v>
      </c>
      <c r="B20" s="347" t="s">
        <v>1430</v>
      </c>
      <c r="C20" s="24">
        <f ca="1">ROUND(C19*F20,0)</f>
        <v>0</v>
      </c>
      <c r="D20" s="369" t="s">
        <v>1431</v>
      </c>
      <c r="E20" s="347" t="s">
        <v>1413</v>
      </c>
      <c r="F20" s="367">
        <f>'数据-取费表'!B37</f>
        <v>0.02</v>
      </c>
      <c r="G20" s="1849"/>
      <c r="H20" s="1197" t="s">
        <v>1380</v>
      </c>
      <c r="I20" s="164" t="s">
        <v>1432</v>
      </c>
      <c r="J20" s="25">
        <f ca="1">ROUND(M20*M21,0)</f>
        <v>0</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ROUND(J14*M22,0)</f>
        <v>0</v>
      </c>
      <c r="K22" s="1793" t="s">
        <v>1441</v>
      </c>
      <c r="L22" s="347" t="s">
        <v>1413</v>
      </c>
      <c r="M22" s="374">
        <f ca="1">INDIRECT("'数据-取费表'!Ak"&amp;$G$1)</f>
        <v>0</v>
      </c>
    </row>
    <row r="23" spans="1:37" s="1853"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IF(项目基本情况!B11="自然人","——",ROUND(C6*F32/(1+'数据-取费表'!C42),0))</f>
        <v>0</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0</v>
      </c>
      <c r="G35" s="1846"/>
      <c r="H35" s="745"/>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51"/>
      <c r="L36" s="1854"/>
      <c r="M36" s="1854"/>
    </row>
    <row r="37" spans="1:18" ht="18" customHeight="1">
      <c r="A37" s="1197" t="s">
        <v>1071</v>
      </c>
      <c r="B37" s="347" t="s">
        <v>1444</v>
      </c>
      <c r="C37" s="24">
        <f ca="1">ROUND(C13*F37,0)</f>
        <v>0</v>
      </c>
      <c r="D37" s="1793" t="s">
        <v>1445</v>
      </c>
      <c r="E37" s="347" t="s">
        <v>1446</v>
      </c>
      <c r="F37" s="376">
        <f ca="1">INDIRECT("'数据-取费表'!Al"&amp;$G$1)</f>
        <v>0</v>
      </c>
      <c r="G37" s="1846"/>
      <c r="H37" s="1854"/>
      <c r="I37" s="1855"/>
      <c r="J37" s="1856"/>
      <c r="K37" s="751"/>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1468</v>
      </c>
      <c r="F42" s="357">
        <f ca="1">INDIRECT("'数据-取费表'!v"&amp;$G$1)</f>
        <v>0</v>
      </c>
      <c r="G42" s="1846"/>
      <c r="H42" s="732"/>
      <c r="I42" s="1855"/>
      <c r="J42" s="1856"/>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5"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5" thickBot="1">
      <c r="A47" s="1161" t="s">
        <v>1387</v>
      </c>
      <c r="B47" s="1193" t="s">
        <v>1388</v>
      </c>
      <c r="C47" s="1193" t="s">
        <v>1389</v>
      </c>
      <c r="D47" s="1193" t="s">
        <v>1390</v>
      </c>
      <c r="E47" s="1275" t="s">
        <v>1391</v>
      </c>
      <c r="F47" s="1276"/>
      <c r="G47" s="792"/>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28.5" thickBot="1">
      <c r="A48" s="1356" t="s">
        <v>1131</v>
      </c>
      <c r="B48" s="345" t="s">
        <v>1392</v>
      </c>
      <c r="C48" s="1812">
        <f ca="1">C49+C53+C55</f>
        <v>0</v>
      </c>
      <c r="D48" s="1358"/>
      <c r="E48" s="1359"/>
      <c r="F48" s="1177"/>
      <c r="G48" s="792"/>
      <c r="H48" s="793"/>
      <c r="I48" s="1882" t="s">
        <v>1521</v>
      </c>
      <c r="J48" s="1883"/>
      <c r="K48" s="1884" t="s">
        <v>1522</v>
      </c>
      <c r="L48" s="1885">
        <f ca="1">INDIRECT("'数据-取费表'!f"&amp;$G$1)</f>
        <v>0</v>
      </c>
      <c r="O48" s="1879" t="s">
        <v>1037</v>
      </c>
      <c r="P48" s="1880" t="s">
        <v>1523</v>
      </c>
      <c r="Q48" s="1881" t="e">
        <f ca="1">J60</f>
        <v>#DIV/0!</v>
      </c>
      <c r="R48" s="1881" t="s">
        <v>1524</v>
      </c>
    </row>
    <row r="49" spans="1:18" s="1837" customFormat="1" ht="13.5" thickBot="1">
      <c r="A49" s="1190" t="s">
        <v>1132</v>
      </c>
      <c r="B49" s="1824" t="s">
        <v>1481</v>
      </c>
      <c r="C49" s="1360">
        <f ca="1">ROUND(F49*F51*F50*(1-F52),0)</f>
        <v>0</v>
      </c>
      <c r="D49" s="1272" t="s">
        <v>1395</v>
      </c>
      <c r="E49" s="1825" t="s">
        <v>1482</v>
      </c>
      <c r="F49" s="1277"/>
      <c r="G49" s="1886"/>
      <c r="H49" s="793"/>
      <c r="I49" s="1882" t="s">
        <v>1525</v>
      </c>
      <c r="J49" s="1887"/>
      <c r="K49" s="1884" t="s">
        <v>1526</v>
      </c>
      <c r="L49" s="1888"/>
      <c r="O49" s="1889" t="s">
        <v>1038</v>
      </c>
      <c r="P49" s="1880" t="s">
        <v>1527</v>
      </c>
      <c r="Q49" s="1881">
        <f ca="1">C29</f>
        <v>0</v>
      </c>
      <c r="R49" s="1881" t="s">
        <v>1520</v>
      </c>
    </row>
    <row r="50" spans="1:18" s="1837" customFormat="1" ht="13.5" thickBot="1">
      <c r="A50" s="1191"/>
      <c r="B50" s="1194"/>
      <c r="C50" s="1195"/>
      <c r="D50" s="1168"/>
      <c r="E50" s="1273" t="s">
        <v>1397</v>
      </c>
      <c r="F50" s="1274">
        <f ca="1">F7</f>
        <v>0</v>
      </c>
      <c r="H50" s="793"/>
      <c r="I50" s="1882" t="s">
        <v>1528</v>
      </c>
      <c r="J50" s="1890">
        <f>SUMPRODUCT((I63:I65=J47)*(J62:L62=J48)*(J63:L65))</f>
        <v>0</v>
      </c>
      <c r="K50" s="1884" t="s">
        <v>1529</v>
      </c>
      <c r="L50" s="1888"/>
      <c r="M50" s="1891"/>
      <c r="O50" s="1889" t="s">
        <v>1039</v>
      </c>
      <c r="P50" s="1880" t="s">
        <v>1530</v>
      </c>
      <c r="Q50" s="1892" t="e">
        <f ca="1">J58</f>
        <v>#DIV/0!</v>
      </c>
      <c r="R50" s="1881"/>
    </row>
    <row r="51" spans="1:18" s="1837" customFormat="1" ht="13.5" thickBot="1">
      <c r="A51" s="1192"/>
      <c r="B51" s="1194"/>
      <c r="C51" s="1195"/>
      <c r="D51" s="1168"/>
      <c r="E51" s="1196"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2992</v>
      </c>
      <c r="E53" s="358" t="s">
        <v>1401</v>
      </c>
      <c r="F53" s="1362"/>
      <c r="I53" s="1900" t="s">
        <v>1538</v>
      </c>
      <c r="J53" s="2946">
        <f ca="1">IF(M47="住宅",IF(D1="——",MAX(J51,L48),MAX(J51,L48-'数据-取费表'!B24)),IF(D1="——",MIN(J51,L48),MIN(J51,L48-'数据-取费表'!B24)))</f>
        <v>0</v>
      </c>
      <c r="K53" s="3276" t="s">
        <v>1539</v>
      </c>
      <c r="L53" s="3277"/>
      <c r="O53" s="1879" t="s">
        <v>1042</v>
      </c>
      <c r="P53" s="1880" t="s">
        <v>1540</v>
      </c>
      <c r="Q53" s="1881" t="e">
        <f ca="1">Q47+Q48</f>
        <v>#DIV/0!</v>
      </c>
      <c r="R53" s="1881" t="s">
        <v>1043</v>
      </c>
    </row>
    <row r="54" spans="1:18" s="1837" customFormat="1" ht="13.5" thickBot="1">
      <c r="A54" s="1190"/>
      <c r="B54" s="1935" t="s">
        <v>1594</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2">
        <v>2</v>
      </c>
      <c r="B56" s="1173"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75" thickBot="1">
      <c r="A57" s="1912"/>
      <c r="B57" s="1165"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75" thickBot="1">
      <c r="A58" s="360" t="s">
        <v>1026</v>
      </c>
      <c r="B58" s="1173" t="s">
        <v>1415</v>
      </c>
      <c r="C58" s="361">
        <f ca="1">ROUND(C59+C64+C65+C66,0)</f>
        <v>0</v>
      </c>
      <c r="D58" s="1175" t="s">
        <v>1416</v>
      </c>
      <c r="E58" s="1176"/>
      <c r="F58" s="1177"/>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ROUND(IF(项目基本情况!B11="自然人",C48*F59,C60+C61+C62),0)</f>
        <v>0</v>
      </c>
      <c r="D59" s="1178" t="s">
        <v>1421</v>
      </c>
      <c r="E59" s="1179"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IF(项目基本情况!B11="自然人","——",IF(D61="按租金收入计税",ROUND(C48*F61,0),IF(D61="按房产原值计税",ROUND(C57*F61*0.7,0),INDIRECT("'数据-取费表'!Aj"&amp;$G$1))))</f>
        <v>0</v>
      </c>
      <c r="D61" s="1823" t="s">
        <v>1429</v>
      </c>
      <c r="E61" s="1165"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5" thickBot="1">
      <c r="A62" s="1197" t="s">
        <v>1486</v>
      </c>
      <c r="B62" s="1164" t="s">
        <v>1487</v>
      </c>
      <c r="C62" s="25">
        <f ca="1">IF(项目基本情况!B11="自然人","——",ROUND(F62*F63,0))</f>
        <v>0</v>
      </c>
      <c r="D62" s="1180" t="s">
        <v>1488</v>
      </c>
      <c r="E62" s="1165" t="s">
        <v>1489</v>
      </c>
      <c r="F62" s="371">
        <f t="shared" si="0"/>
        <v>18</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5" thickBot="1">
      <c r="A63" s="372"/>
      <c r="B63" s="1171"/>
      <c r="C63" s="29"/>
      <c r="D63" s="1181"/>
      <c r="E63" s="1165" t="s">
        <v>1490</v>
      </c>
      <c r="F63" s="348">
        <f t="shared" ca="1" si="0"/>
        <v>0</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ROUND(C57*F64,0)</f>
        <v>0</v>
      </c>
      <c r="D64" s="1179" t="s">
        <v>1493</v>
      </c>
      <c r="E64" s="1165"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ROUND(C56*F65,0)</f>
        <v>0</v>
      </c>
      <c r="D65" s="1179" t="s">
        <v>1445</v>
      </c>
      <c r="E65" s="1165"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5" thickBot="1">
      <c r="A66" s="1197" t="s">
        <v>1495</v>
      </c>
      <c r="B66" s="1165" t="s">
        <v>1430</v>
      </c>
      <c r="C66" s="24">
        <f ca="1">ROUND(C48*F66,0)</f>
        <v>0</v>
      </c>
      <c r="D66" s="1179" t="s">
        <v>1496</v>
      </c>
      <c r="E66" s="1165" t="s">
        <v>1413</v>
      </c>
      <c r="F66" s="357">
        <f t="shared" ca="1" si="0"/>
        <v>0</v>
      </c>
      <c r="O66" s="1879" t="s">
        <v>1037</v>
      </c>
      <c r="P66" s="1880" t="s">
        <v>1549</v>
      </c>
      <c r="Q66" s="1881" t="e">
        <f ca="1">L60</f>
        <v>#DIV/0!</v>
      </c>
      <c r="R66" s="1881" t="s">
        <v>1572</v>
      </c>
    </row>
    <row r="67" spans="1:18" s="1837" customFormat="1" ht="16.5" thickBot="1">
      <c r="A67" s="1172" t="s">
        <v>1027</v>
      </c>
      <c r="B67" s="1182" t="s">
        <v>1454</v>
      </c>
      <c r="C67" s="361">
        <f ca="1">C48-C58</f>
        <v>0</v>
      </c>
      <c r="D67" s="1178" t="s">
        <v>1455</v>
      </c>
      <c r="E67" s="1183"/>
      <c r="F67" s="1184"/>
      <c r="O67" s="1889" t="s">
        <v>1038</v>
      </c>
      <c r="P67" s="1880" t="s">
        <v>1553</v>
      </c>
      <c r="Q67" s="1927">
        <f ca="1">L51</f>
        <v>0</v>
      </c>
      <c r="R67" s="1881" t="s">
        <v>1573</v>
      </c>
    </row>
    <row r="68" spans="1:18" s="1837" customFormat="1" ht="16.5" thickBot="1">
      <c r="A68" s="1162" t="s">
        <v>1028</v>
      </c>
      <c r="B68" s="1163" t="s">
        <v>1476</v>
      </c>
      <c r="C68" s="346" t="e">
        <f ca="1">ROUND(C67*(1-((1+F70)/(1+F68))^F69)/(F68-F70),0)</f>
        <v>#DIV/0!</v>
      </c>
      <c r="D68" s="1180" t="s">
        <v>1460</v>
      </c>
      <c r="E68" s="1165" t="s">
        <v>1461</v>
      </c>
      <c r="F68" s="357">
        <f ca="1">F40</f>
        <v>0</v>
      </c>
      <c r="O68" s="1889" t="s">
        <v>1039</v>
      </c>
      <c r="P68" s="1928" t="s">
        <v>1574</v>
      </c>
      <c r="Q68" s="1881">
        <f ca="1">ROUND(Q69-Q70*Q71,0)</f>
        <v>0</v>
      </c>
      <c r="R68" s="1881" t="s">
        <v>1047</v>
      </c>
    </row>
    <row r="69" spans="1:18" s="1837" customFormat="1" ht="13.5" thickBot="1">
      <c r="A69" s="1166"/>
      <c r="B69" s="1167"/>
      <c r="C69" s="351"/>
      <c r="D69" s="1185" t="s">
        <v>1464</v>
      </c>
      <c r="E69" s="1165" t="s">
        <v>1465</v>
      </c>
      <c r="F69" s="379">
        <f ca="1">F41</f>
        <v>0</v>
      </c>
      <c r="O69" s="1889" t="s">
        <v>1044</v>
      </c>
      <c r="P69" s="1928" t="s">
        <v>1575</v>
      </c>
      <c r="Q69" s="1881">
        <f ca="1">C39</f>
        <v>0</v>
      </c>
      <c r="R69" s="1881" t="s">
        <v>1520</v>
      </c>
    </row>
    <row r="70" spans="1:18" s="1837" customFormat="1" ht="13.5" thickBot="1">
      <c r="A70" s="1169"/>
      <c r="B70" s="1170"/>
      <c r="C70" s="355"/>
      <c r="D70" s="1181"/>
      <c r="E70" s="1165" t="s">
        <v>1468</v>
      </c>
      <c r="F70" s="1271">
        <f ca="1">F42</f>
        <v>0</v>
      </c>
      <c r="O70" s="1889" t="s">
        <v>1045</v>
      </c>
      <c r="P70" s="1928" t="s">
        <v>1576</v>
      </c>
      <c r="Q70" s="1881">
        <f ca="1">C13</f>
        <v>0</v>
      </c>
      <c r="R70" s="1881" t="s">
        <v>1520</v>
      </c>
    </row>
    <row r="71" spans="1:18" s="1837" customFormat="1" ht="13.5" thickBot="1">
      <c r="A71" s="1186" t="s">
        <v>1029</v>
      </c>
      <c r="B71" s="1187" t="s">
        <v>1478</v>
      </c>
      <c r="C71" s="382" t="e">
        <f ca="1">ROUND(C68/F71,0)</f>
        <v>#DIV/0!</v>
      </c>
      <c r="D71" s="1188" t="s">
        <v>1479</v>
      </c>
      <c r="E71" s="1189" t="s">
        <v>1480</v>
      </c>
      <c r="F71" s="385">
        <f ca="1">F43</f>
        <v>0</v>
      </c>
      <c r="O71" s="1889" t="s">
        <v>1046</v>
      </c>
      <c r="P71" s="1928" t="s">
        <v>1577</v>
      </c>
      <c r="Q71" s="1892">
        <f ca="1">C76</f>
        <v>0</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5"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78" t="s">
        <v>1072</v>
      </c>
      <c r="B1" s="3279"/>
      <c r="C1" s="3280"/>
      <c r="D1" s="3281">
        <f>SUM(I10,I15,I20,I21,I23)</f>
        <v>0</v>
      </c>
      <c r="E1" s="3281"/>
      <c r="F1" s="3281"/>
      <c r="G1" s="3281"/>
      <c r="H1" s="3281"/>
      <c r="I1" s="3282"/>
    </row>
    <row r="2" spans="1:9">
      <c r="A2" s="3283" t="s">
        <v>1073</v>
      </c>
      <c r="B2" s="3284" t="s">
        <v>1074</v>
      </c>
      <c r="C2" s="3284"/>
      <c r="D2" s="1297" t="s">
        <v>1075</v>
      </c>
      <c r="E2" s="1297" t="s">
        <v>1076</v>
      </c>
      <c r="F2" s="1297" t="s">
        <v>1077</v>
      </c>
      <c r="G2" s="1297" t="s">
        <v>1078</v>
      </c>
      <c r="H2" s="1297" t="s">
        <v>1079</v>
      </c>
      <c r="I2" s="1298" t="s">
        <v>1080</v>
      </c>
    </row>
    <row r="3" spans="1:9">
      <c r="A3" s="3283"/>
      <c r="B3" s="3284" t="s">
        <v>1081</v>
      </c>
      <c r="C3" s="3284"/>
      <c r="D3" s="1299"/>
      <c r="E3" s="1297"/>
      <c r="F3" s="1300"/>
      <c r="G3" s="1300"/>
      <c r="H3" s="1301"/>
      <c r="I3" s="1302">
        <f>ROUND(D3*E3*F3*G3*H3/10000,0)</f>
        <v>0</v>
      </c>
    </row>
    <row r="4" spans="1:9">
      <c r="A4" s="3283"/>
      <c r="B4" s="3284" t="s">
        <v>1082</v>
      </c>
      <c r="C4" s="3284"/>
      <c r="D4" s="1299"/>
      <c r="E4" s="1297"/>
      <c r="F4" s="1300"/>
      <c r="G4" s="1300"/>
      <c r="H4" s="1301"/>
      <c r="I4" s="1302">
        <f t="shared" ref="I4:I9" si="0">ROUND(D4*E4*F4*G4*H4/10000,0)</f>
        <v>0</v>
      </c>
    </row>
    <row r="5" spans="1:9">
      <c r="A5" s="3283"/>
      <c r="B5" s="3284" t="s">
        <v>1083</v>
      </c>
      <c r="C5" s="3284"/>
      <c r="D5" s="1299"/>
      <c r="E5" s="1297"/>
      <c r="F5" s="1300"/>
      <c r="G5" s="1300"/>
      <c r="H5" s="1301"/>
      <c r="I5" s="1302">
        <f t="shared" si="0"/>
        <v>0</v>
      </c>
    </row>
    <row r="6" spans="1:9">
      <c r="A6" s="3283"/>
      <c r="B6" s="3284" t="s">
        <v>1084</v>
      </c>
      <c r="C6" s="3284"/>
      <c r="D6" s="1299"/>
      <c r="E6" s="1297"/>
      <c r="F6" s="1300"/>
      <c r="G6" s="1300"/>
      <c r="H6" s="1301"/>
      <c r="I6" s="1302">
        <f t="shared" si="0"/>
        <v>0</v>
      </c>
    </row>
    <row r="7" spans="1:9">
      <c r="A7" s="3283"/>
      <c r="B7" s="3284" t="s">
        <v>1085</v>
      </c>
      <c r="C7" s="3284"/>
      <c r="D7" s="1299"/>
      <c r="E7" s="1297"/>
      <c r="F7" s="1300"/>
      <c r="G7" s="1300"/>
      <c r="H7" s="1301"/>
      <c r="I7" s="1302">
        <f t="shared" si="0"/>
        <v>0</v>
      </c>
    </row>
    <row r="8" spans="1:9">
      <c r="A8" s="3283"/>
      <c r="B8" s="3284" t="s">
        <v>1086</v>
      </c>
      <c r="C8" s="3284"/>
      <c r="D8" s="1299"/>
      <c r="E8" s="1297"/>
      <c r="F8" s="1300"/>
      <c r="G8" s="1300"/>
      <c r="H8" s="1301"/>
      <c r="I8" s="1302">
        <f t="shared" si="0"/>
        <v>0</v>
      </c>
    </row>
    <row r="9" spans="1:9">
      <c r="A9" s="3283"/>
      <c r="B9" s="3284" t="s">
        <v>1087</v>
      </c>
      <c r="C9" s="3284"/>
      <c r="D9" s="1299"/>
      <c r="E9" s="1297"/>
      <c r="F9" s="1300"/>
      <c r="G9" s="1300"/>
      <c r="H9" s="1301"/>
      <c r="I9" s="1302">
        <f t="shared" si="0"/>
        <v>0</v>
      </c>
    </row>
    <row r="10" spans="1:9">
      <c r="A10" s="3283"/>
      <c r="B10" s="3285" t="s">
        <v>1088</v>
      </c>
      <c r="C10" s="3285"/>
      <c r="D10" s="1303"/>
      <c r="E10" s="1303" t="e">
        <f>ROUND(D1*10000/D10/H9,0)</f>
        <v>#DIV/0!</v>
      </c>
      <c r="F10" s="1304"/>
      <c r="G10" s="1304"/>
      <c r="H10" s="1305"/>
      <c r="I10" s="1306">
        <f>SUM(I3:I9)</f>
        <v>0</v>
      </c>
    </row>
    <row r="11" spans="1:9" ht="14.25">
      <c r="A11" s="3283" t="s">
        <v>1089</v>
      </c>
      <c r="B11" s="3284" t="s">
        <v>1090</v>
      </c>
      <c r="C11" s="3284"/>
      <c r="D11" s="1299" t="s">
        <v>1091</v>
      </c>
      <c r="E11" s="1299" t="s">
        <v>1092</v>
      </c>
      <c r="F11" s="1300" t="s">
        <v>1093</v>
      </c>
      <c r="G11" s="1300" t="s">
        <v>1079</v>
      </c>
      <c r="H11" s="1307" t="s">
        <v>1094</v>
      </c>
      <c r="I11" s="1298" t="s">
        <v>1080</v>
      </c>
    </row>
    <row r="12" spans="1:9">
      <c r="A12" s="3283"/>
      <c r="B12" s="3284" t="s">
        <v>1095</v>
      </c>
      <c r="C12" s="3284"/>
      <c r="D12" s="1299"/>
      <c r="E12" s="1299"/>
      <c r="F12" s="1300"/>
      <c r="G12" s="1301"/>
      <c r="H12" s="1308"/>
      <c r="I12" s="1298">
        <f>ROUND(D12*E12*F12*G12/10000,0)</f>
        <v>0</v>
      </c>
    </row>
    <row r="13" spans="1:9">
      <c r="A13" s="3283"/>
      <c r="B13" s="3284" t="s">
        <v>1096</v>
      </c>
      <c r="C13" s="3284"/>
      <c r="D13" s="1299"/>
      <c r="E13" s="1299"/>
      <c r="F13" s="1300"/>
      <c r="G13" s="1301"/>
      <c r="H13" s="1308"/>
      <c r="I13" s="1298">
        <f>ROUND(D13*E13*F13*G13/10000,0)</f>
        <v>0</v>
      </c>
    </row>
    <row r="14" spans="1:9">
      <c r="A14" s="3283"/>
      <c r="B14" s="3284" t="s">
        <v>1097</v>
      </c>
      <c r="C14" s="3284"/>
      <c r="D14" s="1299"/>
      <c r="E14" s="1299"/>
      <c r="F14" s="1300"/>
      <c r="G14" s="1301"/>
      <c r="H14" s="1308"/>
      <c r="I14" s="1298">
        <f>ROUND(D14*E14*F14*G14/10000,0)</f>
        <v>0</v>
      </c>
    </row>
    <row r="15" spans="1:9">
      <c r="A15" s="3283"/>
      <c r="B15" s="3285" t="s">
        <v>1088</v>
      </c>
      <c r="C15" s="3285"/>
      <c r="D15" s="1303"/>
      <c r="E15" s="1303">
        <f>SUM(E12:E14)</f>
        <v>0</v>
      </c>
      <c r="F15" s="1304"/>
      <c r="G15" s="1301"/>
      <c r="H15" s="1308"/>
      <c r="I15" s="1309">
        <f>SUM(I12:I14)</f>
        <v>0</v>
      </c>
    </row>
    <row r="16" spans="1:9" ht="24">
      <c r="A16" s="3283" t="s">
        <v>1098</v>
      </c>
      <c r="B16" s="3284" t="s">
        <v>1099</v>
      </c>
      <c r="C16" s="3284"/>
      <c r="D16" s="1299" t="s">
        <v>1075</v>
      </c>
      <c r="E16" s="1310" t="s">
        <v>1100</v>
      </c>
      <c r="F16" s="1300" t="s">
        <v>1101</v>
      </c>
      <c r="G16" s="1301" t="s">
        <v>1079</v>
      </c>
      <c r="H16" s="1307" t="s">
        <v>1094</v>
      </c>
      <c r="I16" s="1298" t="s">
        <v>1080</v>
      </c>
    </row>
    <row r="17" spans="1:9" ht="14.25">
      <c r="A17" s="3283"/>
      <c r="B17" s="3284" t="s">
        <v>1102</v>
      </c>
      <c r="C17" s="3284"/>
      <c r="D17" s="1299"/>
      <c r="E17" s="1299"/>
      <c r="F17" s="1300"/>
      <c r="G17" s="1301"/>
      <c r="H17" s="1311"/>
      <c r="I17" s="1312">
        <f>ROUND(D17*E17*F17*G17/10000,0)</f>
        <v>0</v>
      </c>
    </row>
    <row r="18" spans="1:9" ht="14.25">
      <c r="A18" s="3283"/>
      <c r="B18" s="3284" t="s">
        <v>1103</v>
      </c>
      <c r="C18" s="3284"/>
      <c r="D18" s="1299"/>
      <c r="E18" s="1299"/>
      <c r="F18" s="1300"/>
      <c r="G18" s="1301"/>
      <c r="H18" s="1311"/>
      <c r="I18" s="1312">
        <f>ROUND(D18*E18*F18*G18/10000,0)</f>
        <v>0</v>
      </c>
    </row>
    <row r="19" spans="1:9" ht="14.25">
      <c r="A19" s="3283"/>
      <c r="B19" s="3284" t="s">
        <v>1104</v>
      </c>
      <c r="C19" s="3284"/>
      <c r="D19" s="1299"/>
      <c r="E19" s="1299"/>
      <c r="F19" s="1300"/>
      <c r="G19" s="1301"/>
      <c r="H19" s="1311"/>
      <c r="I19" s="1312">
        <f>ROUND(D19*E19*F19*G19/10000,0)</f>
        <v>0</v>
      </c>
    </row>
    <row r="20" spans="1:9">
      <c r="A20" s="3283"/>
      <c r="B20" s="3285" t="s">
        <v>1088</v>
      </c>
      <c r="C20" s="3285"/>
      <c r="D20" s="1303">
        <f>SUM(D17:D19)</f>
        <v>0</v>
      </c>
      <c r="E20" s="1303"/>
      <c r="F20" s="1304"/>
      <c r="G20" s="1301"/>
      <c r="H20" s="1308"/>
      <c r="I20" s="1309">
        <f>SUM(I17:I19)</f>
        <v>0</v>
      </c>
    </row>
    <row r="21" spans="1:9">
      <c r="A21" s="3283" t="s">
        <v>1105</v>
      </c>
      <c r="B21" s="3287"/>
      <c r="C21" s="3287"/>
      <c r="D21" s="3287"/>
      <c r="E21" s="3287"/>
      <c r="F21" s="3287"/>
      <c r="G21" s="3287"/>
      <c r="H21" s="1760">
        <v>0.1</v>
      </c>
      <c r="I21" s="1306">
        <f>ROUND(I10*H21,0)</f>
        <v>0</v>
      </c>
    </row>
    <row r="22" spans="1:9" ht="14.25">
      <c r="A22" s="3288" t="s">
        <v>1106</v>
      </c>
      <c r="B22" s="3289"/>
      <c r="C22" s="3290"/>
      <c r="D22" s="1313" t="s">
        <v>1107</v>
      </c>
      <c r="E22" s="1313" t="s">
        <v>1108</v>
      </c>
      <c r="F22" s="1314" t="s">
        <v>1109</v>
      </c>
      <c r="G22" s="1314" t="s">
        <v>1110</v>
      </c>
      <c r="H22" s="1307" t="s">
        <v>1111</v>
      </c>
      <c r="I22" s="1298" t="s">
        <v>1112</v>
      </c>
    </row>
    <row r="23" spans="1:9" ht="14.25" thickBot="1">
      <c r="A23" s="3291"/>
      <c r="B23" s="3292"/>
      <c r="C23" s="3293"/>
      <c r="D23" s="1315"/>
      <c r="E23" s="1315"/>
      <c r="F23" s="1315"/>
      <c r="G23" s="1316"/>
      <c r="H23" s="1317"/>
      <c r="I23" s="1318">
        <f>ROUND(E23*D23*F23*(1-G23)/10000,0)</f>
        <v>0</v>
      </c>
    </row>
    <row r="26" spans="1:9">
      <c r="A26" s="1319" t="s">
        <v>1113</v>
      </c>
      <c r="B26" s="1319"/>
      <c r="C26" s="1319"/>
      <c r="D26" s="1319"/>
      <c r="E26" s="3294">
        <f>C27-C30-C31-C32</f>
        <v>0</v>
      </c>
      <c r="F26" s="3294"/>
      <c r="G26" s="3294"/>
      <c r="H26" s="1732" t="s">
        <v>1332</v>
      </c>
    </row>
    <row r="27" spans="1:9">
      <c r="A27" s="1320">
        <v>1</v>
      </c>
      <c r="B27" s="1321" t="s">
        <v>1114</v>
      </c>
      <c r="C27" s="1321">
        <f>C28+C29</f>
        <v>0</v>
      </c>
      <c r="D27" s="1321"/>
      <c r="E27" s="3295"/>
      <c r="F27" s="3295"/>
      <c r="G27" s="3295"/>
    </row>
    <row r="28" spans="1:9">
      <c r="A28" s="1322" t="s">
        <v>1115</v>
      </c>
      <c r="B28" s="1321" t="s">
        <v>1116</v>
      </c>
      <c r="C28" s="1321"/>
      <c r="D28" s="1321"/>
      <c r="E28" s="3295"/>
      <c r="F28" s="3295"/>
      <c r="G28" s="3295"/>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86"/>
      <c r="F32" s="3286"/>
      <c r="G32" s="3286"/>
    </row>
    <row r="33" spans="1:7" hidden="1">
      <c r="A33" s="3296" t="s">
        <v>1125</v>
      </c>
      <c r="B33" s="3297"/>
      <c r="C33" s="3297"/>
      <c r="D33" s="3298"/>
      <c r="E33" s="3294"/>
      <c r="F33" s="3294"/>
      <c r="G33" s="3294"/>
    </row>
    <row r="34" spans="1:7" hidden="1">
      <c r="A34" s="1324">
        <v>1</v>
      </c>
      <c r="B34" s="1321" t="s">
        <v>1126</v>
      </c>
      <c r="C34" s="1321"/>
      <c r="D34" s="1321"/>
      <c r="E34" s="3295"/>
      <c r="F34" s="3295"/>
      <c r="G34" s="3295"/>
    </row>
    <row r="35" spans="1:7" hidden="1">
      <c r="A35" s="1324">
        <v>2</v>
      </c>
      <c r="B35" s="1321" t="s">
        <v>1127</v>
      </c>
      <c r="C35" s="1321"/>
      <c r="D35" s="1321"/>
      <c r="E35" s="3295"/>
      <c r="F35" s="3295"/>
      <c r="G35" s="3295"/>
    </row>
    <row r="36" spans="1:7" hidden="1">
      <c r="A36" s="1324">
        <v>3</v>
      </c>
      <c r="B36" s="1321" t="s">
        <v>1128</v>
      </c>
      <c r="C36" s="1321"/>
      <c r="D36" s="1321"/>
      <c r="E36" s="3295"/>
      <c r="F36" s="3295"/>
      <c r="G36" s="3295"/>
    </row>
    <row r="37" spans="1:7" hidden="1">
      <c r="A37" s="1324">
        <v>4</v>
      </c>
      <c r="B37" s="1321" t="s">
        <v>1129</v>
      </c>
      <c r="C37" s="1321"/>
      <c r="D37" s="1321"/>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2482</v>
      </c>
      <c r="C1" s="1629" t="s">
        <v>2483</v>
      </c>
      <c r="D1" s="1616"/>
      <c r="E1" s="2579"/>
      <c r="F1" s="2580" t="s">
        <v>2484</v>
      </c>
      <c r="G1" s="1626" t="s">
        <v>2485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2"/>
      <c r="D2" s="1361" t="e">
        <f ca="1">SUMIF(INDIRECT("'"&amp;F2&amp;"'"&amp;"!A:A"),"承租人权益价值",INDIRECT("'"&amp;F2&amp;"'"&amp;"!c:c"))</f>
        <v>#REF!</v>
      </c>
      <c r="E2" s="2583" t="s">
        <v>2486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2487</v>
      </c>
      <c r="D3" s="399">
        <f>IF(D1="",'数据-汇总表'!E3,SUMIF('数据-汇总表'!$C19:$C33,D1,'数据-汇总表'!$E19:$E33))</f>
        <v>21282.42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1" t="s">
        <v>2488</v>
      </c>
      <c r="B4" s="402"/>
      <c r="C4" s="3317" t="s">
        <v>2489</v>
      </c>
      <c r="D4" s="3318"/>
      <c r="E4" s="3319" t="s">
        <v>2490</v>
      </c>
      <c r="F4" s="3320"/>
      <c r="G4" s="3317" t="s">
        <v>2491</v>
      </c>
      <c r="H4" s="3318"/>
      <c r="I4" s="3317" t="s">
        <v>2492</v>
      </c>
      <c r="J4" s="3318"/>
      <c r="K4" s="2592" t="s">
        <v>2493</v>
      </c>
      <c r="L4" s="1126"/>
      <c r="M4" s="1127"/>
      <c r="N4" s="1127"/>
      <c r="O4" s="1127"/>
      <c r="P4" s="3321" t="s">
        <v>2494</v>
      </c>
      <c r="Q4" s="3322"/>
      <c r="R4" s="3304" t="s">
        <v>2490</v>
      </c>
      <c r="S4" s="3305"/>
      <c r="T4" s="3304" t="s">
        <v>2491</v>
      </c>
      <c r="U4" s="3305"/>
      <c r="V4" s="3329" t="s">
        <v>2492</v>
      </c>
      <c r="W4" s="3329"/>
      <c r="X4" s="1808"/>
      <c r="Y4" s="3304" t="s">
        <v>2494</v>
      </c>
      <c r="Z4" s="3305"/>
      <c r="AA4" s="3299" t="s">
        <v>2490</v>
      </c>
      <c r="AB4" s="3299" t="s">
        <v>2491</v>
      </c>
      <c r="AC4" s="3299" t="s">
        <v>2492</v>
      </c>
    </row>
    <row r="5" spans="1:29" ht="15">
      <c r="A5" s="404"/>
      <c r="B5" s="405"/>
      <c r="C5" s="3310" t="s">
        <v>2495</v>
      </c>
      <c r="D5" s="3311"/>
      <c r="E5" s="3308" t="s">
        <v>2496</v>
      </c>
      <c r="F5" s="3309"/>
      <c r="G5" s="3310" t="s">
        <v>2497</v>
      </c>
      <c r="H5" s="3311"/>
      <c r="I5" s="3310" t="s">
        <v>2498</v>
      </c>
      <c r="J5" s="3311"/>
      <c r="K5" s="2593"/>
      <c r="L5" s="1126"/>
      <c r="M5" s="1127"/>
      <c r="N5" s="1127"/>
      <c r="O5" s="1127"/>
      <c r="P5" s="3323"/>
      <c r="Q5" s="3324"/>
      <c r="R5" s="3306"/>
      <c r="S5" s="3307"/>
      <c r="T5" s="3306"/>
      <c r="U5" s="3307"/>
      <c r="V5" s="3329"/>
      <c r="W5" s="3329"/>
      <c r="X5" s="1808"/>
      <c r="Y5" s="3306"/>
      <c r="Z5" s="3307"/>
      <c r="AA5" s="3300"/>
      <c r="AB5" s="3300"/>
      <c r="AC5" s="3300"/>
    </row>
    <row r="6" spans="1:29" ht="15.75" thickBot="1">
      <c r="A6" s="406"/>
      <c r="B6" s="407"/>
      <c r="C6" s="3312" t="s">
        <v>2499</v>
      </c>
      <c r="D6" s="3313"/>
      <c r="E6" s="3314" t="s">
        <v>2499</v>
      </c>
      <c r="F6" s="3315"/>
      <c r="G6" s="3312" t="s">
        <v>2499</v>
      </c>
      <c r="H6" s="3313"/>
      <c r="I6" s="3312" t="s">
        <v>2499</v>
      </c>
      <c r="J6" s="3313"/>
      <c r="K6" s="2593" t="s">
        <v>2500</v>
      </c>
      <c r="L6" s="1126"/>
      <c r="M6" s="1127"/>
      <c r="N6" s="1127"/>
      <c r="O6" s="1127"/>
      <c r="P6" s="3325"/>
      <c r="Q6" s="3326"/>
      <c r="R6" s="3306"/>
      <c r="S6" s="3307"/>
      <c r="T6" s="3327"/>
      <c r="U6" s="3328"/>
      <c r="V6" s="3329"/>
      <c r="W6" s="3329"/>
      <c r="X6" s="1808"/>
      <c r="Y6" s="3327"/>
      <c r="Z6" s="3328"/>
      <c r="AA6" s="3301"/>
      <c r="AB6" s="3301"/>
      <c r="AC6" s="3301"/>
    </row>
    <row r="7" spans="1:29" s="117" customFormat="1" ht="15.75" thickBot="1">
      <c r="A7" s="408" t="s">
        <v>2501</v>
      </c>
      <c r="B7" s="409"/>
      <c r="C7" s="410">
        <f>'数据-取费表'!B2</f>
        <v>43795</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302" t="s">
        <v>2502</v>
      </c>
      <c r="Q7" s="3330"/>
      <c r="R7" s="770" t="s">
        <v>23</v>
      </c>
      <c r="S7" s="771">
        <f t="shared" ref="S7:S15" si="0">F7</f>
        <v>0</v>
      </c>
      <c r="T7" s="770" t="s">
        <v>23</v>
      </c>
      <c r="U7" s="771">
        <f t="shared" ref="U7:U15" si="1">H7</f>
        <v>0</v>
      </c>
      <c r="V7" s="770" t="s">
        <v>23</v>
      </c>
      <c r="W7" s="771">
        <f t="shared" ref="W7:W15" si="2">J7</f>
        <v>0</v>
      </c>
      <c r="X7" s="772"/>
      <c r="Y7" s="3302" t="s">
        <v>2502</v>
      </c>
      <c r="Z7" s="3303"/>
      <c r="AA7" s="773" t="e">
        <f>D7/F7</f>
        <v>#DIV/0!</v>
      </c>
      <c r="AB7" s="773" t="e">
        <f>D7/H7</f>
        <v>#DIV/0!</v>
      </c>
      <c r="AC7" s="773" t="e">
        <f>D7/J7</f>
        <v>#DIV/0!</v>
      </c>
    </row>
    <row r="8" spans="1:29" s="117" customFormat="1" ht="15.75" thickBot="1">
      <c r="A8" s="408" t="s">
        <v>2503</v>
      </c>
      <c r="B8" s="409"/>
      <c r="C8" s="414" t="s">
        <v>2504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302" t="s">
        <v>2505</v>
      </c>
      <c r="Q8" s="3303"/>
      <c r="R8" s="770" t="s">
        <v>23</v>
      </c>
      <c r="S8" s="771">
        <f t="shared" si="0"/>
        <v>0</v>
      </c>
      <c r="T8" s="770" t="s">
        <v>23</v>
      </c>
      <c r="U8" s="771">
        <f t="shared" si="1"/>
        <v>0</v>
      </c>
      <c r="V8" s="770" t="s">
        <v>23</v>
      </c>
      <c r="W8" s="771">
        <f t="shared" si="2"/>
        <v>0</v>
      </c>
      <c r="X8" s="772"/>
      <c r="Y8" s="3302" t="s">
        <v>2505</v>
      </c>
      <c r="Z8" s="3303"/>
      <c r="AA8" s="773" t="e">
        <f t="shared" ref="AA8:AA19" si="3">D8/F8</f>
        <v>#DIV/0!</v>
      </c>
      <c r="AB8" s="773" t="e">
        <f t="shared" ref="AB8:AB19" si="4">D8/H8</f>
        <v>#DIV/0!</v>
      </c>
      <c r="AC8" s="773"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316"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316"/>
      <c r="Q10" s="1790" t="str">
        <f t="shared" si="6"/>
        <v>土地使用年限（年）</v>
      </c>
      <c r="R10" s="770" t="s">
        <v>17</v>
      </c>
      <c r="S10" s="771">
        <f t="shared" si="0"/>
        <v>100</v>
      </c>
      <c r="T10" s="770" t="s">
        <v>17</v>
      </c>
      <c r="U10" s="771">
        <f t="shared" si="1"/>
        <v>100</v>
      </c>
      <c r="V10" s="770" t="s">
        <v>17</v>
      </c>
      <c r="W10" s="771">
        <f t="shared" si="2"/>
        <v>100</v>
      </c>
      <c r="X10" s="772"/>
      <c r="Y10" s="3146"/>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316"/>
      <c r="Q11" s="1790" t="str">
        <f t="shared" si="6"/>
        <v>容积率</v>
      </c>
      <c r="R11" s="770" t="s">
        <v>21</v>
      </c>
      <c r="S11" s="771" t="e">
        <f t="shared" si="0"/>
        <v>#N/A</v>
      </c>
      <c r="T11" s="770" t="s">
        <v>21</v>
      </c>
      <c r="U11" s="771" t="e">
        <f t="shared" si="1"/>
        <v>#N/A</v>
      </c>
      <c r="V11" s="770" t="s">
        <v>21</v>
      </c>
      <c r="W11" s="771" t="e">
        <f t="shared" si="2"/>
        <v>#N/A</v>
      </c>
      <c r="X11" s="772"/>
      <c r="Y11" s="3146"/>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316"/>
      <c r="Q12" s="1790">
        <f t="shared" si="6"/>
        <v>111</v>
      </c>
      <c r="R12" s="770" t="s">
        <v>21</v>
      </c>
      <c r="S12" s="771">
        <f t="shared" si="0"/>
        <v>100</v>
      </c>
      <c r="T12" s="770" t="s">
        <v>21</v>
      </c>
      <c r="U12" s="771">
        <f t="shared" si="1"/>
        <v>100</v>
      </c>
      <c r="V12" s="770" t="s">
        <v>21</v>
      </c>
      <c r="W12" s="771">
        <f t="shared" si="2"/>
        <v>100</v>
      </c>
      <c r="X12" s="772"/>
      <c r="Y12" s="314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316"/>
      <c r="Q13" s="1790">
        <f t="shared" si="6"/>
        <v>111</v>
      </c>
      <c r="R13" s="770" t="s">
        <v>21</v>
      </c>
      <c r="S13" s="771">
        <f t="shared" si="0"/>
        <v>100</v>
      </c>
      <c r="T13" s="770" t="s">
        <v>21</v>
      </c>
      <c r="U13" s="771">
        <f t="shared" si="1"/>
        <v>100</v>
      </c>
      <c r="V13" s="770" t="s">
        <v>21</v>
      </c>
      <c r="W13" s="771">
        <f t="shared" si="2"/>
        <v>100</v>
      </c>
      <c r="X13" s="772"/>
      <c r="Y13" s="3146"/>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316"/>
      <c r="Q14" s="1790">
        <f t="shared" si="6"/>
        <v>111</v>
      </c>
      <c r="R14" s="770" t="s">
        <v>21</v>
      </c>
      <c r="S14" s="771">
        <f t="shared" si="0"/>
        <v>100</v>
      </c>
      <c r="T14" s="770" t="s">
        <v>21</v>
      </c>
      <c r="U14" s="771">
        <f t="shared" si="1"/>
        <v>100</v>
      </c>
      <c r="V14" s="770" t="s">
        <v>21</v>
      </c>
      <c r="W14" s="771">
        <f t="shared" si="2"/>
        <v>100</v>
      </c>
      <c r="X14" s="772"/>
      <c r="Y14" s="3146"/>
      <c r="Z14" s="55">
        <f t="shared" si="7"/>
        <v>111</v>
      </c>
      <c r="AA14" s="773">
        <f t="shared" si="3"/>
        <v>1</v>
      </c>
      <c r="AB14" s="773">
        <f t="shared" si="4"/>
        <v>1</v>
      </c>
      <c r="AC14" s="773">
        <f t="shared" si="5"/>
        <v>1</v>
      </c>
    </row>
    <row r="15" spans="1:29" ht="15">
      <c r="A15" s="440" t="s">
        <v>2512</v>
      </c>
      <c r="B15" s="69" t="s">
        <v>2046</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343" t="s">
        <v>2513</v>
      </c>
      <c r="Q15" s="1805" t="str">
        <f t="shared" si="6"/>
        <v>居住社区成熟度</v>
      </c>
      <c r="R15" s="774" t="s">
        <v>21</v>
      </c>
      <c r="S15" s="775">
        <f t="shared" si="0"/>
        <v>100</v>
      </c>
      <c r="T15" s="774" t="s">
        <v>21</v>
      </c>
      <c r="U15" s="775">
        <f t="shared" si="1"/>
        <v>100</v>
      </c>
      <c r="V15" s="774" t="s">
        <v>21</v>
      </c>
      <c r="W15" s="775">
        <f t="shared" si="2"/>
        <v>100</v>
      </c>
      <c r="X15" s="1808"/>
      <c r="Y15" s="3336" t="s">
        <v>2513</v>
      </c>
      <c r="Z15" s="1809" t="str">
        <f t="shared" si="7"/>
        <v>居住社区成熟度</v>
      </c>
      <c r="AA15" s="1806">
        <f t="shared" si="3"/>
        <v>1</v>
      </c>
      <c r="AB15" s="1806">
        <f t="shared" si="4"/>
        <v>1</v>
      </c>
      <c r="AC15" s="1806">
        <f t="shared" si="5"/>
        <v>1</v>
      </c>
    </row>
    <row r="16" spans="1:29" ht="15">
      <c r="A16" s="428"/>
      <c r="B16" s="446"/>
      <c r="C16" s="447"/>
      <c r="D16" s="448"/>
      <c r="E16" s="2600"/>
      <c r="F16" s="448"/>
      <c r="G16" s="2601"/>
      <c r="H16" s="450"/>
      <c r="I16" s="2601"/>
      <c r="J16" s="448"/>
      <c r="K16" s="2602"/>
      <c r="L16" s="1136"/>
      <c r="M16" s="1127"/>
      <c r="N16" s="1127"/>
      <c r="O16" s="1127"/>
      <c r="P16" s="3344"/>
      <c r="Q16" s="1805"/>
      <c r="R16" s="774"/>
      <c r="S16" s="775"/>
      <c r="T16" s="774"/>
      <c r="U16" s="775"/>
      <c r="V16" s="774"/>
      <c r="W16" s="775"/>
      <c r="X16" s="1808"/>
      <c r="Y16" s="3337"/>
      <c r="Z16" s="1809"/>
      <c r="AA16" s="1806">
        <v>1</v>
      </c>
      <c r="AB16" s="1806">
        <v>1</v>
      </c>
      <c r="AC16" s="1806">
        <v>1</v>
      </c>
    </row>
    <row r="17" spans="1:29" ht="142.5">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344"/>
      <c r="Q17" s="1805" t="str">
        <f>B17</f>
        <v>交通便捷度</v>
      </c>
      <c r="R17" s="774" t="s">
        <v>21</v>
      </c>
      <c r="S17" s="775">
        <f>F17</f>
        <v>100</v>
      </c>
      <c r="T17" s="774" t="s">
        <v>21</v>
      </c>
      <c r="U17" s="775">
        <f>H17</f>
        <v>100</v>
      </c>
      <c r="V17" s="774" t="s">
        <v>21</v>
      </c>
      <c r="W17" s="775">
        <f>J17</f>
        <v>100</v>
      </c>
      <c r="X17" s="1808"/>
      <c r="Y17" s="3337"/>
      <c r="Z17" s="1809" t="str">
        <f>Q17</f>
        <v>交通便捷度</v>
      </c>
      <c r="AA17" s="1806">
        <f t="shared" si="3"/>
        <v>1</v>
      </c>
      <c r="AB17" s="1806">
        <f t="shared" si="4"/>
        <v>1</v>
      </c>
      <c r="AC17" s="1806">
        <f t="shared" si="5"/>
        <v>1</v>
      </c>
    </row>
    <row r="18" spans="1:29" ht="15">
      <c r="A18" s="428"/>
      <c r="B18" s="456"/>
      <c r="C18" s="2604"/>
      <c r="D18" s="450"/>
      <c r="E18" s="2605"/>
      <c r="F18" s="450"/>
      <c r="G18" s="2606"/>
      <c r="H18" s="448"/>
      <c r="I18" s="2606"/>
      <c r="J18" s="448"/>
      <c r="K18" s="2602"/>
      <c r="L18" s="1136"/>
      <c r="M18" s="1127"/>
      <c r="N18" s="1127"/>
      <c r="O18" s="1127"/>
      <c r="P18" s="3344"/>
      <c r="Q18" s="1805"/>
      <c r="R18" s="774"/>
      <c r="S18" s="775"/>
      <c r="T18" s="774"/>
      <c r="U18" s="775"/>
      <c r="V18" s="774"/>
      <c r="W18" s="775"/>
      <c r="X18" s="1808"/>
      <c r="Y18" s="3337"/>
      <c r="Z18" s="1809"/>
      <c r="AA18" s="1806">
        <v>1</v>
      </c>
      <c r="AB18" s="1806">
        <v>1</v>
      </c>
      <c r="AC18" s="1806">
        <v>1</v>
      </c>
    </row>
    <row r="19" spans="1:29" ht="42.75">
      <c r="A19" s="428"/>
      <c r="B19" s="451" t="s">
        <v>2051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344"/>
      <c r="Q19" s="1805" t="str">
        <f>B19</f>
        <v>公共配套设施</v>
      </c>
      <c r="R19" s="774" t="s">
        <v>21</v>
      </c>
      <c r="S19" s="775">
        <f>F19</f>
        <v>100</v>
      </c>
      <c r="T19" s="774" t="s">
        <v>21</v>
      </c>
      <c r="U19" s="775">
        <f>H19</f>
        <v>100</v>
      </c>
      <c r="V19" s="774" t="s">
        <v>21</v>
      </c>
      <c r="W19" s="775">
        <f>J19</f>
        <v>100</v>
      </c>
      <c r="X19" s="1808"/>
      <c r="Y19" s="3337"/>
      <c r="Z19" s="1809" t="str">
        <f>Q19</f>
        <v>公共配套设施</v>
      </c>
      <c r="AA19" s="1806">
        <f t="shared" si="3"/>
        <v>1</v>
      </c>
      <c r="AB19" s="1806">
        <f t="shared" si="4"/>
        <v>1</v>
      </c>
      <c r="AC19" s="1806">
        <f t="shared" si="5"/>
        <v>1</v>
      </c>
    </row>
    <row r="20" spans="1:29" ht="15">
      <c r="A20" s="428"/>
      <c r="B20" s="456"/>
      <c r="C20" s="447"/>
      <c r="D20" s="448"/>
      <c r="E20" s="2600"/>
      <c r="F20" s="448"/>
      <c r="G20" s="2601"/>
      <c r="H20" s="448"/>
      <c r="I20" s="2601"/>
      <c r="J20" s="448"/>
      <c r="K20" s="2602"/>
      <c r="L20" s="1136"/>
      <c r="M20" s="1127"/>
      <c r="N20" s="1127"/>
      <c r="O20" s="1127"/>
      <c r="P20" s="3344"/>
      <c r="Q20" s="1805"/>
      <c r="R20" s="774"/>
      <c r="S20" s="775"/>
      <c r="T20" s="774"/>
      <c r="U20" s="775"/>
      <c r="V20" s="774"/>
      <c r="W20" s="775"/>
      <c r="X20" s="1808"/>
      <c r="Y20" s="3337"/>
      <c r="Z20" s="1809"/>
      <c r="AA20" s="1806">
        <v>1</v>
      </c>
      <c r="AB20" s="1806">
        <v>1</v>
      </c>
      <c r="AC20" s="1806">
        <v>1</v>
      </c>
    </row>
    <row r="21" spans="1:29" ht="42.75">
      <c r="A21" s="428"/>
      <c r="B21" s="1380" t="s">
        <v>2053</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344"/>
      <c r="Q21" s="1805" t="str">
        <f>B21</f>
        <v>基础设施水平</v>
      </c>
      <c r="R21" s="774" t="s">
        <v>17</v>
      </c>
      <c r="S21" s="775">
        <f>F21</f>
        <v>100</v>
      </c>
      <c r="T21" s="774" t="s">
        <v>17</v>
      </c>
      <c r="U21" s="775">
        <f>H21</f>
        <v>100</v>
      </c>
      <c r="V21" s="774" t="s">
        <v>17</v>
      </c>
      <c r="W21" s="775">
        <f>J21</f>
        <v>100</v>
      </c>
      <c r="X21" s="1808"/>
      <c r="Y21" s="3337"/>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8"/>
      <c r="G22" s="2607"/>
      <c r="H22" s="448"/>
      <c r="I22" s="447"/>
      <c r="J22" s="448"/>
      <c r="K22" s="2608"/>
      <c r="L22" s="1136"/>
      <c r="M22" s="1127"/>
      <c r="N22" s="1127"/>
      <c r="O22" s="1127"/>
      <c r="P22" s="3344"/>
      <c r="Q22" s="1805"/>
      <c r="R22" s="774"/>
      <c r="S22" s="775"/>
      <c r="T22" s="774"/>
      <c r="U22" s="775"/>
      <c r="V22" s="774"/>
      <c r="W22" s="775"/>
      <c r="X22" s="1808"/>
      <c r="Y22" s="3337"/>
      <c r="Z22" s="1809"/>
      <c r="AA22" s="1806">
        <v>1</v>
      </c>
      <c r="AB22" s="1806">
        <v>1</v>
      </c>
      <c r="AC22" s="1806">
        <v>1</v>
      </c>
    </row>
    <row r="23" spans="1:29" ht="99.75">
      <c r="A23" s="428"/>
      <c r="B23" s="451" t="s">
        <v>2055</v>
      </c>
      <c r="C23" s="2603" t="str">
        <f>估价对象房地状况!C9</f>
        <v>区域自然环境好：周边临近朝阳公园；人文环境好：周边临近农业展览馆；综合评价环境状况好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344"/>
      <c r="Q23" s="1805" t="str">
        <f>B23</f>
        <v>自然及人文环境</v>
      </c>
      <c r="R23" s="774" t="s">
        <v>21</v>
      </c>
      <c r="S23" s="775">
        <f>F23</f>
        <v>100</v>
      </c>
      <c r="T23" s="774" t="s">
        <v>21</v>
      </c>
      <c r="U23" s="775">
        <f>H23</f>
        <v>100</v>
      </c>
      <c r="V23" s="774" t="s">
        <v>21</v>
      </c>
      <c r="W23" s="775">
        <f>J23</f>
        <v>100</v>
      </c>
      <c r="X23" s="1808"/>
      <c r="Y23" s="3337"/>
      <c r="Z23" s="1809" t="str">
        <f>Q23</f>
        <v>自然及人文环境</v>
      </c>
      <c r="AA23" s="1806">
        <f>D23/F23</f>
        <v>1</v>
      </c>
      <c r="AB23" s="1806">
        <f>D23/H23</f>
        <v>1</v>
      </c>
      <c r="AC23" s="1806">
        <f>D23/J23</f>
        <v>1</v>
      </c>
    </row>
    <row r="24" spans="1:29" ht="15">
      <c r="A24" s="428"/>
      <c r="B24" s="456"/>
      <c r="C24" s="447"/>
      <c r="D24" s="448"/>
      <c r="E24" s="2600"/>
      <c r="F24" s="448"/>
      <c r="G24" s="2601"/>
      <c r="H24" s="448"/>
      <c r="I24" s="2601"/>
      <c r="J24" s="448"/>
      <c r="K24" s="2602"/>
      <c r="L24" s="1136"/>
      <c r="M24" s="1127"/>
      <c r="N24" s="1127"/>
      <c r="O24" s="1127"/>
      <c r="P24" s="3344"/>
      <c r="Q24" s="1805"/>
      <c r="R24" s="774"/>
      <c r="S24" s="775"/>
      <c r="T24" s="774"/>
      <c r="U24" s="775"/>
      <c r="V24" s="774"/>
      <c r="W24" s="775"/>
      <c r="X24" s="1808"/>
      <c r="Y24" s="3337"/>
      <c r="Z24" s="1809"/>
      <c r="AA24" s="1806">
        <v>1</v>
      </c>
      <c r="AB24" s="1806">
        <v>1</v>
      </c>
      <c r="AC24" s="1806">
        <v>1</v>
      </c>
    </row>
    <row r="25" spans="1:29" ht="15">
      <c r="A25" s="428"/>
      <c r="B25" s="422" t="s">
        <v>2514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34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337"/>
      <c r="Z25" s="1809" t="str">
        <f>Q25</f>
        <v>楼层-1</v>
      </c>
      <c r="AA25" s="1806">
        <f t="shared" ref="AA25:AA46" si="15">D25/F25</f>
        <v>1</v>
      </c>
      <c r="AB25" s="1806">
        <f t="shared" ref="AB25:AB46" si="16">D25/H25</f>
        <v>1</v>
      </c>
      <c r="AC25" s="1806">
        <f t="shared" ref="AC25:AC46" si="17">D25/J25</f>
        <v>1</v>
      </c>
    </row>
    <row r="26" spans="1:29" ht="15">
      <c r="A26" s="428"/>
      <c r="B26" s="422" t="s">
        <v>2515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344"/>
      <c r="Q26" s="1805" t="str">
        <f t="shared" si="11"/>
        <v>朝向</v>
      </c>
      <c r="R26" s="774" t="s">
        <v>21</v>
      </c>
      <c r="S26" s="775">
        <f t="shared" si="12"/>
        <v>100</v>
      </c>
      <c r="T26" s="774" t="s">
        <v>21</v>
      </c>
      <c r="U26" s="775">
        <f t="shared" si="13"/>
        <v>100</v>
      </c>
      <c r="V26" s="774" t="s">
        <v>21</v>
      </c>
      <c r="W26" s="775">
        <f t="shared" si="14"/>
        <v>100</v>
      </c>
      <c r="X26" s="1808"/>
      <c r="Y26" s="3337"/>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344"/>
      <c r="Q27" s="1790">
        <f t="shared" si="11"/>
        <v>111</v>
      </c>
      <c r="R27" s="770" t="s">
        <v>21</v>
      </c>
      <c r="S27" s="771">
        <f t="shared" si="12"/>
        <v>100</v>
      </c>
      <c r="T27" s="770" t="s">
        <v>21</v>
      </c>
      <c r="U27" s="771">
        <f t="shared" si="13"/>
        <v>100</v>
      </c>
      <c r="V27" s="770" t="s">
        <v>21</v>
      </c>
      <c r="W27" s="771">
        <f t="shared" si="14"/>
        <v>100</v>
      </c>
      <c r="X27" s="772"/>
      <c r="Y27" s="3337"/>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344"/>
      <c r="Q28" s="1805">
        <f t="shared" si="11"/>
        <v>111</v>
      </c>
      <c r="R28" s="774" t="s">
        <v>21</v>
      </c>
      <c r="S28" s="775">
        <f t="shared" si="12"/>
        <v>100</v>
      </c>
      <c r="T28" s="774" t="s">
        <v>21</v>
      </c>
      <c r="U28" s="775">
        <f t="shared" si="13"/>
        <v>100</v>
      </c>
      <c r="V28" s="774" t="s">
        <v>21</v>
      </c>
      <c r="W28" s="775">
        <f t="shared" si="14"/>
        <v>100</v>
      </c>
      <c r="X28" s="1808"/>
      <c r="Y28" s="3337"/>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344"/>
      <c r="Q29" s="1805">
        <f t="shared" si="11"/>
        <v>111</v>
      </c>
      <c r="R29" s="774" t="s">
        <v>21</v>
      </c>
      <c r="S29" s="775">
        <f t="shared" si="12"/>
        <v>100</v>
      </c>
      <c r="T29" s="774" t="s">
        <v>21</v>
      </c>
      <c r="U29" s="775">
        <f t="shared" si="13"/>
        <v>100</v>
      </c>
      <c r="V29" s="774" t="s">
        <v>21</v>
      </c>
      <c r="W29" s="775">
        <f t="shared" si="14"/>
        <v>100</v>
      </c>
      <c r="X29" s="1808"/>
      <c r="Y29" s="3337"/>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344"/>
      <c r="Q30" s="1805">
        <f t="shared" si="11"/>
        <v>111</v>
      </c>
      <c r="R30" s="774" t="s">
        <v>21</v>
      </c>
      <c r="S30" s="775">
        <f t="shared" si="12"/>
        <v>100</v>
      </c>
      <c r="T30" s="774" t="s">
        <v>21</v>
      </c>
      <c r="U30" s="775">
        <f t="shared" si="13"/>
        <v>100</v>
      </c>
      <c r="V30" s="774" t="s">
        <v>21</v>
      </c>
      <c r="W30" s="775">
        <f t="shared" si="14"/>
        <v>100</v>
      </c>
      <c r="X30" s="1808"/>
      <c r="Y30" s="3337"/>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344"/>
      <c r="Q31" s="1805">
        <f t="shared" si="11"/>
        <v>111</v>
      </c>
      <c r="R31" s="774" t="s">
        <v>21</v>
      </c>
      <c r="S31" s="775">
        <f t="shared" si="12"/>
        <v>100</v>
      </c>
      <c r="T31" s="774" t="s">
        <v>21</v>
      </c>
      <c r="U31" s="775">
        <f t="shared" si="13"/>
        <v>100</v>
      </c>
      <c r="V31" s="774" t="s">
        <v>21</v>
      </c>
      <c r="W31" s="775">
        <f t="shared" si="14"/>
        <v>100</v>
      </c>
      <c r="X31" s="1808"/>
      <c r="Y31" s="3337"/>
      <c r="Z31" s="1809">
        <f t="shared" si="18"/>
        <v>111</v>
      </c>
      <c r="AA31" s="1806">
        <f t="shared" si="15"/>
        <v>1</v>
      </c>
      <c r="AB31" s="1806">
        <f t="shared" si="16"/>
        <v>1</v>
      </c>
      <c r="AC31" s="1806">
        <f t="shared" si="17"/>
        <v>1</v>
      </c>
    </row>
    <row r="32" spans="1:29" ht="15">
      <c r="A32" s="440" t="s">
        <v>2516</v>
      </c>
      <c r="B32" s="71" t="s">
        <v>2517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338" t="s">
        <v>2518</v>
      </c>
      <c r="Q32" s="1805" t="str">
        <f t="shared" si="11"/>
        <v>建筑类型</v>
      </c>
      <c r="R32" s="774" t="s">
        <v>21</v>
      </c>
      <c r="S32" s="775">
        <f t="shared" si="12"/>
        <v>100</v>
      </c>
      <c r="T32" s="774" t="s">
        <v>21</v>
      </c>
      <c r="U32" s="775">
        <f t="shared" si="13"/>
        <v>100</v>
      </c>
      <c r="V32" s="774" t="s">
        <v>21</v>
      </c>
      <c r="W32" s="775">
        <f t="shared" si="14"/>
        <v>100</v>
      </c>
      <c r="X32" s="1808"/>
      <c r="Y32" s="3341" t="s">
        <v>2518</v>
      </c>
      <c r="Z32" s="1809" t="str">
        <f t="shared" si="18"/>
        <v>建筑类型</v>
      </c>
      <c r="AA32" s="1806">
        <f t="shared" si="15"/>
        <v>1</v>
      </c>
      <c r="AB32" s="1806">
        <f t="shared" si="16"/>
        <v>1</v>
      </c>
      <c r="AC32" s="1806">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339"/>
      <c r="Q33" s="776" t="str">
        <f t="shared" si="11"/>
        <v>项目建筑规模</v>
      </c>
      <c r="R33" s="777" t="s">
        <v>21</v>
      </c>
      <c r="S33" s="778" t="e">
        <f t="shared" si="12"/>
        <v>#N/A</v>
      </c>
      <c r="T33" s="777" t="s">
        <v>21</v>
      </c>
      <c r="U33" s="778" t="e">
        <f t="shared" si="13"/>
        <v>#N/A</v>
      </c>
      <c r="V33" s="777" t="s">
        <v>21</v>
      </c>
      <c r="W33" s="778" t="e">
        <f t="shared" si="14"/>
        <v>#N/A</v>
      </c>
      <c r="X33" s="779"/>
      <c r="Y33" s="3341"/>
      <c r="Z33" s="780" t="str">
        <f t="shared" si="18"/>
        <v>项目建筑规模</v>
      </c>
      <c r="AA33" s="1806" t="e">
        <f t="shared" si="15"/>
        <v>#N/A</v>
      </c>
      <c r="AB33" s="1806" t="e">
        <f t="shared" si="16"/>
        <v>#N/A</v>
      </c>
      <c r="AC33" s="1806" t="e">
        <f t="shared" si="17"/>
        <v>#N/A</v>
      </c>
    </row>
    <row r="34" spans="1:29" ht="15">
      <c r="A34" s="472"/>
      <c r="B34" s="422" t="s">
        <v>2520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339"/>
      <c r="Q34" s="1805" t="str">
        <f t="shared" si="11"/>
        <v>建筑结构</v>
      </c>
      <c r="R34" s="774" t="s">
        <v>21</v>
      </c>
      <c r="S34" s="775">
        <f t="shared" si="12"/>
        <v>100</v>
      </c>
      <c r="T34" s="774" t="s">
        <v>21</v>
      </c>
      <c r="U34" s="775">
        <f t="shared" si="13"/>
        <v>100</v>
      </c>
      <c r="V34" s="774" t="s">
        <v>21</v>
      </c>
      <c r="W34" s="775">
        <f t="shared" si="14"/>
        <v>100</v>
      </c>
      <c r="X34" s="1808"/>
      <c r="Y34" s="3341"/>
      <c r="Z34" s="1809" t="str">
        <f t="shared" si="18"/>
        <v>建筑结构</v>
      </c>
      <c r="AA34" s="1806">
        <f t="shared" si="15"/>
        <v>1</v>
      </c>
      <c r="AB34" s="1806">
        <f t="shared" si="16"/>
        <v>1</v>
      </c>
      <c r="AC34" s="1806">
        <f t="shared" si="17"/>
        <v>1</v>
      </c>
    </row>
    <row r="35" spans="1:29" ht="15">
      <c r="A35" s="472"/>
      <c r="B35" s="422" t="s">
        <v>2521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339"/>
      <c r="Q35" s="1805" t="str">
        <f t="shared" si="11"/>
        <v>建筑品质</v>
      </c>
      <c r="R35" s="774" t="s">
        <v>21</v>
      </c>
      <c r="S35" s="775">
        <f t="shared" si="12"/>
        <v>100</v>
      </c>
      <c r="T35" s="774" t="s">
        <v>21</v>
      </c>
      <c r="U35" s="775">
        <f t="shared" si="13"/>
        <v>100</v>
      </c>
      <c r="V35" s="774" t="s">
        <v>21</v>
      </c>
      <c r="W35" s="775">
        <f t="shared" si="14"/>
        <v>100</v>
      </c>
      <c r="X35" s="1808"/>
      <c r="Y35" s="3341"/>
      <c r="Z35" s="1809" t="str">
        <f t="shared" si="18"/>
        <v>建筑品质</v>
      </c>
      <c r="AA35" s="1806">
        <f t="shared" si="15"/>
        <v>1</v>
      </c>
      <c r="AB35" s="1806">
        <f t="shared" si="16"/>
        <v>1</v>
      </c>
      <c r="AC35" s="1806">
        <f t="shared" si="17"/>
        <v>1</v>
      </c>
    </row>
    <row r="36" spans="1:29" ht="15">
      <c r="A36" s="472"/>
      <c r="B36" s="422" t="s">
        <v>2522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339"/>
      <c r="Q36" s="1805" t="str">
        <f t="shared" si="11"/>
        <v>公共部分装修</v>
      </c>
      <c r="R36" s="774" t="s">
        <v>21</v>
      </c>
      <c r="S36" s="775">
        <f t="shared" si="12"/>
        <v>100</v>
      </c>
      <c r="T36" s="774" t="s">
        <v>21</v>
      </c>
      <c r="U36" s="775">
        <f t="shared" si="13"/>
        <v>100</v>
      </c>
      <c r="V36" s="774" t="s">
        <v>21</v>
      </c>
      <c r="W36" s="775">
        <f t="shared" si="14"/>
        <v>100</v>
      </c>
      <c r="X36" s="1808"/>
      <c r="Y36" s="3341"/>
      <c r="Z36" s="1809" t="str">
        <f t="shared" si="18"/>
        <v>公共部分装修</v>
      </c>
      <c r="AA36" s="1806">
        <f t="shared" si="15"/>
        <v>1</v>
      </c>
      <c r="AB36" s="1806">
        <f t="shared" si="16"/>
        <v>1</v>
      </c>
      <c r="AC36" s="1806">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339"/>
      <c r="Q37" s="1790" t="str">
        <f t="shared" si="11"/>
        <v>成新度</v>
      </c>
      <c r="R37" s="770" t="s">
        <v>21</v>
      </c>
      <c r="S37" s="771" t="e">
        <f t="shared" si="12"/>
        <v>#N/A</v>
      </c>
      <c r="T37" s="770" t="s">
        <v>21</v>
      </c>
      <c r="U37" s="771" t="e">
        <f t="shared" si="13"/>
        <v>#N/A</v>
      </c>
      <c r="V37" s="770" t="s">
        <v>21</v>
      </c>
      <c r="W37" s="771" t="e">
        <f t="shared" si="14"/>
        <v>#N/A</v>
      </c>
      <c r="X37" s="772"/>
      <c r="Y37" s="3341"/>
      <c r="Z37" s="55" t="str">
        <f t="shared" si="18"/>
        <v>成新度</v>
      </c>
      <c r="AA37" s="773" t="e">
        <f t="shared" si="15"/>
        <v>#N/A</v>
      </c>
      <c r="AB37" s="773" t="e">
        <f t="shared" si="16"/>
        <v>#N/A</v>
      </c>
      <c r="AC37" s="773" t="e">
        <f t="shared" si="17"/>
        <v>#N/A</v>
      </c>
    </row>
    <row r="38" spans="1:29" ht="15">
      <c r="A38" s="472"/>
      <c r="B38" s="422" t="s">
        <v>2524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339" t="s">
        <v>2518</v>
      </c>
      <c r="Q38" s="1805" t="str">
        <f t="shared" si="11"/>
        <v>物业管理</v>
      </c>
      <c r="R38" s="774" t="s">
        <v>21</v>
      </c>
      <c r="S38" s="775">
        <f t="shared" si="12"/>
        <v>100</v>
      </c>
      <c r="T38" s="774" t="s">
        <v>21</v>
      </c>
      <c r="U38" s="775">
        <f t="shared" si="13"/>
        <v>100</v>
      </c>
      <c r="V38" s="774" t="s">
        <v>21</v>
      </c>
      <c r="W38" s="775">
        <f t="shared" si="14"/>
        <v>100</v>
      </c>
      <c r="X38" s="1808"/>
      <c r="Y38" s="3341" t="s">
        <v>2518</v>
      </c>
      <c r="Z38" s="1809" t="str">
        <f t="shared" si="18"/>
        <v>物业管理</v>
      </c>
      <c r="AA38" s="1806">
        <f t="shared" si="15"/>
        <v>1</v>
      </c>
      <c r="AB38" s="1806">
        <f t="shared" si="16"/>
        <v>1</v>
      </c>
      <c r="AC38" s="1806">
        <f t="shared" si="17"/>
        <v>1</v>
      </c>
    </row>
    <row r="39" spans="1:29" ht="15">
      <c r="A39" s="472"/>
      <c r="B39" s="422" t="s">
        <v>2525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339"/>
      <c r="Q39" s="1805" t="str">
        <f t="shared" si="11"/>
        <v>市政基础设施</v>
      </c>
      <c r="R39" s="774" t="s">
        <v>21</v>
      </c>
      <c r="S39" s="775">
        <f t="shared" si="12"/>
        <v>100</v>
      </c>
      <c r="T39" s="774" t="s">
        <v>21</v>
      </c>
      <c r="U39" s="775">
        <f t="shared" si="13"/>
        <v>100</v>
      </c>
      <c r="V39" s="774" t="s">
        <v>21</v>
      </c>
      <c r="W39" s="775">
        <f t="shared" si="14"/>
        <v>100</v>
      </c>
      <c r="X39" s="1808"/>
      <c r="Y39" s="3341"/>
      <c r="Z39" s="1809" t="str">
        <f t="shared" si="18"/>
        <v>市政基础设施</v>
      </c>
      <c r="AA39" s="1806">
        <f t="shared" si="15"/>
        <v>1</v>
      </c>
      <c r="AB39" s="1806">
        <f t="shared" si="16"/>
        <v>1</v>
      </c>
      <c r="AC39" s="1806">
        <f t="shared" si="17"/>
        <v>1</v>
      </c>
    </row>
    <row r="40" spans="1:29" ht="15">
      <c r="A40" s="472"/>
      <c r="B40" s="422" t="s">
        <v>2526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339"/>
      <c r="Q40" s="1805" t="str">
        <f t="shared" si="11"/>
        <v>房型</v>
      </c>
      <c r="R40" s="774" t="s">
        <v>21</v>
      </c>
      <c r="S40" s="775">
        <f t="shared" si="12"/>
        <v>100</v>
      </c>
      <c r="T40" s="774" t="s">
        <v>21</v>
      </c>
      <c r="U40" s="775">
        <f t="shared" si="13"/>
        <v>100</v>
      </c>
      <c r="V40" s="774" t="s">
        <v>21</v>
      </c>
      <c r="W40" s="775">
        <f t="shared" si="14"/>
        <v>100</v>
      </c>
      <c r="X40" s="1808"/>
      <c r="Y40" s="3341"/>
      <c r="Z40" s="1809" t="str">
        <f t="shared" si="18"/>
        <v>房型</v>
      </c>
      <c r="AA40" s="1806">
        <f t="shared" si="15"/>
        <v>1</v>
      </c>
      <c r="AB40" s="1806">
        <f t="shared" si="16"/>
        <v>1</v>
      </c>
      <c r="AC40" s="1806">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339"/>
      <c r="Q41" s="776" t="str">
        <f t="shared" si="11"/>
        <v>单套/主力户型建筑面积</v>
      </c>
      <c r="R41" s="777" t="s">
        <v>21</v>
      </c>
      <c r="S41" s="778">
        <f t="shared" si="12"/>
        <v>100</v>
      </c>
      <c r="T41" s="777" t="s">
        <v>21</v>
      </c>
      <c r="U41" s="778">
        <f t="shared" si="13"/>
        <v>100</v>
      </c>
      <c r="V41" s="777" t="s">
        <v>21</v>
      </c>
      <c r="W41" s="778">
        <f t="shared" si="14"/>
        <v>100</v>
      </c>
      <c r="X41" s="779"/>
      <c r="Y41" s="3341"/>
      <c r="Z41" s="780" t="str">
        <f t="shared" si="18"/>
        <v>单套/主力户型建筑面积</v>
      </c>
      <c r="AA41" s="1806">
        <f t="shared" si="15"/>
        <v>1</v>
      </c>
      <c r="AB41" s="1806">
        <f t="shared" si="16"/>
        <v>1</v>
      </c>
      <c r="AC41" s="1806">
        <f t="shared" si="17"/>
        <v>1</v>
      </c>
    </row>
    <row r="42" spans="1:29" ht="15">
      <c r="A42" s="472"/>
      <c r="B42" s="422" t="s">
        <v>2528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339"/>
      <c r="Q42" s="1805" t="str">
        <f t="shared" si="11"/>
        <v>内部装修</v>
      </c>
      <c r="R42" s="774" t="s">
        <v>21</v>
      </c>
      <c r="S42" s="775">
        <f t="shared" si="12"/>
        <v>100</v>
      </c>
      <c r="T42" s="774" t="s">
        <v>21</v>
      </c>
      <c r="U42" s="775">
        <f t="shared" si="13"/>
        <v>100</v>
      </c>
      <c r="V42" s="774" t="s">
        <v>21</v>
      </c>
      <c r="W42" s="775">
        <f t="shared" si="14"/>
        <v>100</v>
      </c>
      <c r="X42" s="1808"/>
      <c r="Y42" s="3341"/>
      <c r="Z42" s="1809" t="str">
        <f t="shared" si="18"/>
        <v>内部装修</v>
      </c>
      <c r="AA42" s="1806">
        <f t="shared" si="15"/>
        <v>1</v>
      </c>
      <c r="AB42" s="1806">
        <f t="shared" si="16"/>
        <v>1</v>
      </c>
      <c r="AC42" s="1806">
        <f t="shared" si="17"/>
        <v>1</v>
      </c>
    </row>
    <row r="43" spans="1:29" ht="15">
      <c r="A43" s="472"/>
      <c r="B43" s="422" t="s">
        <v>2529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339"/>
      <c r="Q43" s="1805" t="str">
        <f t="shared" si="11"/>
        <v>内部装修维护情况</v>
      </c>
      <c r="R43" s="774" t="s">
        <v>21</v>
      </c>
      <c r="S43" s="775">
        <f t="shared" si="12"/>
        <v>100</v>
      </c>
      <c r="T43" s="774" t="s">
        <v>21</v>
      </c>
      <c r="U43" s="775">
        <f t="shared" si="13"/>
        <v>100</v>
      </c>
      <c r="V43" s="774" t="s">
        <v>21</v>
      </c>
      <c r="W43" s="775">
        <f t="shared" si="14"/>
        <v>100</v>
      </c>
      <c r="X43" s="1808"/>
      <c r="Y43" s="3341"/>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339"/>
      <c r="Q44" s="1790">
        <f t="shared" si="11"/>
        <v>111</v>
      </c>
      <c r="R44" s="770" t="s">
        <v>21</v>
      </c>
      <c r="S44" s="771">
        <f t="shared" si="12"/>
        <v>100</v>
      </c>
      <c r="T44" s="770" t="s">
        <v>21</v>
      </c>
      <c r="U44" s="771">
        <f t="shared" si="13"/>
        <v>100</v>
      </c>
      <c r="V44" s="770" t="s">
        <v>21</v>
      </c>
      <c r="W44" s="771">
        <f t="shared" si="14"/>
        <v>100</v>
      </c>
      <c r="X44" s="772"/>
      <c r="Y44" s="3341"/>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339"/>
      <c r="Q45" s="1805">
        <f t="shared" si="11"/>
        <v>111</v>
      </c>
      <c r="R45" s="774" t="s">
        <v>21</v>
      </c>
      <c r="S45" s="775">
        <f t="shared" si="12"/>
        <v>100</v>
      </c>
      <c r="T45" s="774" t="s">
        <v>21</v>
      </c>
      <c r="U45" s="775">
        <f t="shared" si="13"/>
        <v>100</v>
      </c>
      <c r="V45" s="774" t="s">
        <v>21</v>
      </c>
      <c r="W45" s="775">
        <f t="shared" si="14"/>
        <v>100</v>
      </c>
      <c r="X45" s="1808"/>
      <c r="Y45" s="3341"/>
      <c r="Z45" s="1809">
        <f t="shared" si="18"/>
        <v>111</v>
      </c>
      <c r="AA45" s="1806">
        <f t="shared" si="15"/>
        <v>1</v>
      </c>
      <c r="AB45" s="1806">
        <f t="shared" si="16"/>
        <v>1</v>
      </c>
      <c r="AC45" s="1806">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340"/>
      <c r="Q46" s="1805">
        <f t="shared" si="11"/>
        <v>111</v>
      </c>
      <c r="R46" s="774" t="s">
        <v>20</v>
      </c>
      <c r="S46" s="775">
        <f t="shared" si="12"/>
        <v>100</v>
      </c>
      <c r="T46" s="774" t="s">
        <v>20</v>
      </c>
      <c r="U46" s="775">
        <f t="shared" si="13"/>
        <v>100</v>
      </c>
      <c r="V46" s="774" t="s">
        <v>20</v>
      </c>
      <c r="W46" s="775">
        <f t="shared" si="14"/>
        <v>100</v>
      </c>
      <c r="X46" s="1808"/>
      <c r="Y46" s="3342"/>
      <c r="Z46" s="1809">
        <f t="shared" si="18"/>
        <v>111</v>
      </c>
      <c r="AA46" s="1806">
        <f t="shared" si="15"/>
        <v>1</v>
      </c>
      <c r="AB46" s="1806">
        <f t="shared" si="16"/>
        <v>1</v>
      </c>
      <c r="AC46" s="1806">
        <f t="shared" si="17"/>
        <v>1</v>
      </c>
    </row>
    <row r="47" spans="1:29" ht="15">
      <c r="A47" s="479" t="s">
        <v>2530</v>
      </c>
      <c r="B47" s="480"/>
      <c r="C47" s="1403" t="s">
        <v>19</v>
      </c>
      <c r="D47" s="1404"/>
      <c r="E47" s="1405"/>
      <c r="F47" s="1406"/>
      <c r="G47" s="1407"/>
      <c r="H47" s="1408"/>
      <c r="I47" s="1405"/>
      <c r="J47" s="1408"/>
      <c r="K47" s="2617"/>
      <c r="L47" s="1139"/>
      <c r="M47" s="1140"/>
      <c r="N47" s="1127"/>
      <c r="O47" s="1140"/>
      <c r="P47" s="3334" t="str">
        <f>A47</f>
        <v>成交单价（元/平方米）</v>
      </c>
      <c r="Q47" s="3334"/>
      <c r="R47" s="3335">
        <f>E47</f>
        <v>0</v>
      </c>
      <c r="S47" s="3335"/>
      <c r="T47" s="3335">
        <f>G47</f>
        <v>0</v>
      </c>
      <c r="U47" s="3335"/>
      <c r="V47" s="3335">
        <f>I47</f>
        <v>0</v>
      </c>
      <c r="W47" s="3335"/>
      <c r="X47" s="759"/>
      <c r="Y47" s="781"/>
      <c r="Z47" s="759"/>
      <c r="AA47" s="759"/>
      <c r="AB47" s="759"/>
      <c r="AC47" s="759"/>
    </row>
    <row r="48" spans="1:29" ht="15.75" thickBot="1">
      <c r="A48" s="486" t="s">
        <v>2531</v>
      </c>
      <c r="B48" s="487"/>
      <c r="C48" s="1409" t="e">
        <f>R49</f>
        <v>#DIV/0!</v>
      </c>
      <c r="D48" s="1410"/>
      <c r="E48" s="1411" t="e">
        <f>R48</f>
        <v>#DIV/0!</v>
      </c>
      <c r="F48" s="1411"/>
      <c r="G48" s="1409" t="e">
        <f>T48</f>
        <v>#DIV/0!</v>
      </c>
      <c r="H48" s="1410"/>
      <c r="I48" s="1411" t="e">
        <f>V48</f>
        <v>#DIV/0!</v>
      </c>
      <c r="J48" s="1410"/>
      <c r="K48" s="2618"/>
      <c r="L48" s="1139"/>
      <c r="M48" s="1140"/>
      <c r="N48" s="1140"/>
      <c r="O48" s="1140"/>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5.75" thickBot="1">
      <c r="A49" s="492" t="s">
        <v>2532</v>
      </c>
      <c r="B49" s="493"/>
      <c r="C49" s="1412" t="e">
        <f>R49</f>
        <v>#DIV/0!</v>
      </c>
      <c r="D49" s="1413"/>
      <c r="E49" s="1413"/>
      <c r="F49" s="1413"/>
      <c r="G49" s="1413"/>
      <c r="H49" s="1413"/>
      <c r="I49" s="1413"/>
      <c r="J49" s="1413"/>
      <c r="K49" s="2619"/>
      <c r="L49" s="1139"/>
      <c r="M49" s="1140"/>
      <c r="N49" s="1140"/>
      <c r="O49" s="1140"/>
      <c r="P49" s="3331" t="str">
        <f>A49</f>
        <v>估价对象XX用房的比较价值（楼面单价，元/平方米）</v>
      </c>
      <c r="Q49" s="3332"/>
      <c r="R49" s="3333" t="e">
        <f>IF(F1="售价",ROUND(AVERAGE(R48:V48),0),ROUND(AVERAGE(R48:V48),1))</f>
        <v>#DIV/0!</v>
      </c>
      <c r="S49" s="3333"/>
      <c r="T49" s="3333"/>
      <c r="U49" s="3333"/>
      <c r="V49" s="3333"/>
      <c r="W49" s="3333"/>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3" t="s">
        <v>2536</v>
      </c>
      <c r="B57" s="759"/>
      <c r="C57" s="764"/>
      <c r="D57" s="764"/>
      <c r="E57" s="764"/>
      <c r="F57" s="765"/>
      <c r="G57" s="765"/>
      <c r="H57" s="764"/>
      <c r="I57" s="764"/>
      <c r="J57" s="764"/>
      <c r="K57" s="1156"/>
      <c r="L57" s="1157"/>
      <c r="M57" s="1155"/>
      <c r="N57" s="1155"/>
      <c r="O57" s="1155"/>
      <c r="P57" s="2622"/>
      <c r="Q57" s="504"/>
    </row>
    <row r="58" spans="1:29" s="508" customFormat="1" ht="15">
      <c r="A58" s="505" t="s">
        <v>2537</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23"/>
      <c r="C59" s="1568">
        <v>100</v>
      </c>
      <c r="D59" s="511"/>
      <c r="E59" s="512"/>
      <c r="F59" s="512"/>
      <c r="G59" s="512"/>
      <c r="H59" s="512"/>
      <c r="I59" s="512"/>
      <c r="J59" s="512"/>
      <c r="K59" s="512"/>
      <c r="L59" s="512"/>
      <c r="M59" s="513"/>
      <c r="N59" s="512"/>
      <c r="O59" s="513"/>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2539</v>
      </c>
      <c r="B61" s="510"/>
      <c r="C61" s="522" t="s">
        <v>2540</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ht="15">
      <c r="A68" s="534"/>
      <c r="B68" s="548"/>
      <c r="C68" s="549"/>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60"/>
      <c r="E73" s="560"/>
      <c r="F73" s="560"/>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2563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75" thickTop="1">
      <c r="A88" s="579"/>
      <c r="B88" s="538" t="s">
        <v>2564</v>
      </c>
      <c r="C88" s="554"/>
      <c r="D88" s="554"/>
      <c r="E88" s="554"/>
      <c r="F88" s="2631"/>
      <c r="G88" s="554"/>
      <c r="H88" s="554"/>
      <c r="I88" s="554"/>
      <c r="J88" s="554"/>
      <c r="K88" s="554"/>
      <c r="L88" s="554"/>
      <c r="M88" s="581"/>
      <c r="N88" s="1147"/>
      <c r="O88" s="1147"/>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5.75" thickTop="1">
      <c r="A90" s="553"/>
      <c r="B90" s="538">
        <f>B27</f>
        <v>111</v>
      </c>
      <c r="C90" s="554"/>
      <c r="D90" s="554"/>
      <c r="E90" s="554"/>
      <c r="F90" s="554"/>
      <c r="G90" s="554"/>
      <c r="H90" s="555"/>
      <c r="I90" s="555"/>
      <c r="J90" s="555"/>
      <c r="K90" s="555"/>
      <c r="L90" s="556"/>
      <c r="M90" s="557"/>
      <c r="N90" s="1150"/>
      <c r="O90" s="1150"/>
      <c r="P90" s="2627"/>
      <c r="Q90" s="559"/>
    </row>
    <row r="91" spans="1:17" s="471" customFormat="1" ht="15.75" thickBot="1">
      <c r="A91" s="553"/>
      <c r="B91" s="543"/>
      <c r="C91" s="560"/>
      <c r="D91" s="560"/>
      <c r="E91" s="560"/>
      <c r="F91" s="560"/>
      <c r="G91" s="560"/>
      <c r="H91" s="562"/>
      <c r="I91" s="562"/>
      <c r="J91" s="562"/>
      <c r="K91" s="562"/>
      <c r="L91" s="562"/>
      <c r="M91" s="563"/>
      <c r="N91" s="1150"/>
      <c r="O91" s="1150"/>
      <c r="P91" s="2627"/>
      <c r="Q91" s="559"/>
    </row>
    <row r="92" spans="1:17" ht="15.75" thickTop="1">
      <c r="A92" s="534"/>
      <c r="B92" s="538">
        <f>B28</f>
        <v>111</v>
      </c>
      <c r="C92" s="554"/>
      <c r="D92" s="554"/>
      <c r="E92" s="554"/>
      <c r="F92" s="554"/>
      <c r="G92" s="583"/>
      <c r="H92" s="583"/>
      <c r="I92" s="583"/>
      <c r="J92" s="583"/>
      <c r="K92" s="584"/>
      <c r="L92" s="585"/>
      <c r="M92" s="586"/>
      <c r="N92" s="1148"/>
      <c r="O92" s="1148"/>
      <c r="P92" s="2626"/>
      <c r="Q92" s="504"/>
    </row>
    <row r="93" spans="1:17" ht="15.75" thickBot="1">
      <c r="A93" s="534"/>
      <c r="B93" s="543"/>
      <c r="C93" s="560"/>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60"/>
      <c r="E95" s="560"/>
      <c r="F95" s="560"/>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70"/>
      <c r="D97" s="570"/>
      <c r="E97" s="570"/>
      <c r="F97" s="570"/>
      <c r="G97" s="536"/>
      <c r="H97" s="536"/>
      <c r="I97" s="536"/>
      <c r="J97" s="536"/>
      <c r="K97" s="536"/>
      <c r="L97" s="536"/>
      <c r="M97" s="537"/>
      <c r="N97" s="1149"/>
      <c r="O97" s="1149"/>
      <c r="P97" s="2626"/>
      <c r="Q97" s="504"/>
    </row>
    <row r="98" spans="1:17" ht="15.75" thickTop="1">
      <c r="A98" s="534"/>
      <c r="B98" s="546">
        <f>B31</f>
        <v>111</v>
      </c>
      <c r="C98" s="587"/>
      <c r="D98" s="587"/>
      <c r="E98" s="587"/>
      <c r="F98" s="587"/>
      <c r="G98" s="587"/>
      <c r="H98" s="587"/>
      <c r="I98" s="587"/>
      <c r="J98" s="587"/>
      <c r="K98" s="588"/>
      <c r="L98" s="589"/>
      <c r="M98" s="590"/>
      <c r="N98" s="1148"/>
      <c r="O98" s="1148"/>
      <c r="P98" s="2626"/>
      <c r="Q98" s="504"/>
    </row>
    <row r="99" spans="1:17" ht="15.75" thickBot="1">
      <c r="A99" s="2632"/>
      <c r="B99" s="569"/>
      <c r="C99" s="591"/>
      <c r="D99" s="591"/>
      <c r="E99" s="591"/>
      <c r="F99" s="591"/>
      <c r="G99" s="591"/>
      <c r="H99" s="591"/>
      <c r="I99" s="591"/>
      <c r="J99" s="591"/>
      <c r="K99" s="591"/>
      <c r="L99" s="591"/>
      <c r="M99" s="592"/>
      <c r="N99" s="1149"/>
      <c r="O99" s="1149"/>
      <c r="P99" s="2626"/>
      <c r="Q99" s="504"/>
    </row>
    <row r="100" spans="1:17">
      <c r="A100" s="527" t="s">
        <v>2516</v>
      </c>
      <c r="B100" s="528" t="s">
        <v>2565</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2567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2568</v>
      </c>
      <c r="C107" s="583"/>
      <c r="D107" s="583"/>
      <c r="E107" s="583"/>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2569</v>
      </c>
      <c r="C109" s="554"/>
      <c r="D109" s="554"/>
      <c r="E109" s="554"/>
      <c r="F109" s="583"/>
      <c r="G109" s="583"/>
      <c r="H109" s="583"/>
      <c r="I109" s="583"/>
      <c r="J109" s="583"/>
      <c r="K109" s="584"/>
      <c r="L109" s="585"/>
      <c r="M109" s="586"/>
      <c r="N109" s="1148"/>
      <c r="O109" s="1148"/>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2570</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2571</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2572</v>
      </c>
      <c r="C118" s="583"/>
      <c r="D118" s="583"/>
      <c r="E118" s="583"/>
      <c r="F118" s="583"/>
      <c r="G118" s="583"/>
      <c r="H118" s="583"/>
      <c r="I118" s="583"/>
      <c r="J118" s="583"/>
      <c r="K118" s="584"/>
      <c r="L118" s="585"/>
      <c r="M118" s="586"/>
      <c r="N118" s="1148"/>
      <c r="O118" s="1148"/>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7"/>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2573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60"/>
      <c r="E129" s="560"/>
      <c r="F129" s="560"/>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2575</v>
      </c>
    </row>
    <row r="137" spans="1:17" ht="15">
      <c r="B137" s="2634" t="s">
        <v>2576</v>
      </c>
      <c r="C137" s="2635"/>
      <c r="D137" s="2635"/>
      <c r="E137" s="2635"/>
      <c r="F137" s="2635"/>
      <c r="G137" s="2636"/>
      <c r="H137" s="2637"/>
      <c r="I137" s="2638" t="s">
        <v>2577</v>
      </c>
      <c r="J137" s="2635"/>
      <c r="K137" s="2639"/>
    </row>
    <row r="138" spans="1:17" ht="15">
      <c r="B138" s="2640"/>
      <c r="C138" s="146" t="s">
        <v>2578</v>
      </c>
      <c r="D138" s="146" t="s">
        <v>2579</v>
      </c>
      <c r="E138" s="2641" t="s">
        <v>2580</v>
      </c>
      <c r="F138" s="2642" t="s">
        <v>2581</v>
      </c>
      <c r="G138" s="146" t="s">
        <v>2579</v>
      </c>
      <c r="H138" s="147" t="s">
        <v>2580</v>
      </c>
      <c r="I138" s="2643"/>
      <c r="J138" s="146" t="s">
        <v>2582</v>
      </c>
      <c r="K138" s="147" t="s">
        <v>2583</v>
      </c>
    </row>
    <row r="139" spans="1:17" ht="15">
      <c r="B139" s="1080">
        <v>6</v>
      </c>
      <c r="C139" s="1081">
        <v>96</v>
      </c>
      <c r="D139" s="2644" t="s">
        <v>2584</v>
      </c>
      <c r="E139" s="1082">
        <v>100</v>
      </c>
      <c r="F139" s="1083">
        <v>102.5</v>
      </c>
      <c r="G139" s="2644" t="s">
        <v>2584</v>
      </c>
      <c r="H139" s="1084">
        <v>105</v>
      </c>
      <c r="I139" s="2645" t="s">
        <v>2585</v>
      </c>
      <c r="J139" s="1081">
        <v>20</v>
      </c>
      <c r="K139" s="1085">
        <f>C145/(J139-2)</f>
        <v>4.0555555555555553E-3</v>
      </c>
    </row>
    <row r="140" spans="1:17" ht="15">
      <c r="B140" s="1086">
        <v>5</v>
      </c>
      <c r="C140" s="1087">
        <v>100</v>
      </c>
      <c r="D140" s="1087"/>
      <c r="E140" s="1088"/>
      <c r="F140" s="1089">
        <v>102</v>
      </c>
      <c r="G140" s="1087"/>
      <c r="H140" s="1090"/>
      <c r="I140" s="2646" t="s">
        <v>2586</v>
      </c>
      <c r="J140" s="315">
        <f>ROUNDUP((J139-1)/2,0)</f>
        <v>10</v>
      </c>
      <c r="K140" s="1091">
        <v>100</v>
      </c>
    </row>
    <row r="141" spans="1:17" ht="15">
      <c r="B141" s="1086">
        <v>4</v>
      </c>
      <c r="C141" s="1087">
        <v>102</v>
      </c>
      <c r="D141" s="1087"/>
      <c r="E141" s="1088"/>
      <c r="F141" s="1089">
        <v>101.5</v>
      </c>
      <c r="G141" s="1087"/>
      <c r="H141" s="1090"/>
      <c r="I141" s="2646" t="s">
        <v>2587</v>
      </c>
      <c r="J141" s="315">
        <v>1</v>
      </c>
      <c r="K141" s="1092">
        <f>ROUND(100+(J141-J140)*K139*100,1)</f>
        <v>96.4</v>
      </c>
    </row>
    <row r="142" spans="1:17" ht="15">
      <c r="B142" s="1086">
        <v>3</v>
      </c>
      <c r="C142" s="1087">
        <v>103</v>
      </c>
      <c r="D142" s="1087"/>
      <c r="E142" s="1088"/>
      <c r="F142" s="1089">
        <v>101</v>
      </c>
      <c r="G142" s="1087"/>
      <c r="H142" s="1090"/>
      <c r="I142" s="2646" t="s">
        <v>2588</v>
      </c>
      <c r="J142" s="315">
        <f>J139</f>
        <v>20</v>
      </c>
      <c r="K142" s="1093">
        <v>95</v>
      </c>
    </row>
    <row r="143" spans="1:17" ht="15">
      <c r="B143" s="1086">
        <v>2</v>
      </c>
      <c r="C143" s="1087">
        <v>100</v>
      </c>
      <c r="D143" s="1087"/>
      <c r="E143" s="1088"/>
      <c r="F143" s="1089">
        <v>100.5</v>
      </c>
      <c r="G143" s="1087"/>
      <c r="H143" s="1090"/>
      <c r="I143" s="2646" t="s">
        <v>2589</v>
      </c>
      <c r="J143" s="1087">
        <v>15</v>
      </c>
      <c r="K143" s="1092">
        <f>ROUND(100+(J143-J140)*K139*100,1)</f>
        <v>102</v>
      </c>
    </row>
    <row r="144" spans="1:17" ht="15">
      <c r="B144" s="1086">
        <v>1</v>
      </c>
      <c r="C144" s="1087">
        <v>98</v>
      </c>
      <c r="D144" s="2647" t="s">
        <v>2590</v>
      </c>
      <c r="E144" s="1088">
        <v>102</v>
      </c>
      <c r="F144" s="1094">
        <v>100</v>
      </c>
      <c r="G144" s="2647" t="s">
        <v>2590</v>
      </c>
      <c r="H144" s="1090">
        <v>105</v>
      </c>
      <c r="I144" s="2646" t="s">
        <v>2589</v>
      </c>
      <c r="J144" s="1087">
        <v>18</v>
      </c>
      <c r="K144" s="1092">
        <f>ROUND(100+(J144-J140)*K139*100,1)</f>
        <v>103.2</v>
      </c>
    </row>
    <row r="145" spans="2:11" ht="15.75" thickBot="1">
      <c r="B145" s="2648" t="s">
        <v>2591</v>
      </c>
      <c r="C145" s="1095">
        <f>ROUND(MAX(C139:C144)/MIN(C139:C144)-1,3)</f>
        <v>7.2999999999999995E-2</v>
      </c>
      <c r="D145" s="1096"/>
      <c r="E145" s="1096"/>
      <c r="F145" s="2649" t="s">
        <v>2592</v>
      </c>
      <c r="G145" s="2650"/>
      <c r="H145" s="2651"/>
      <c r="I145" s="2652" t="s">
        <v>2589</v>
      </c>
      <c r="J145" s="1097">
        <v>8</v>
      </c>
      <c r="K145" s="1098">
        <f>ROUND(100+(J145-J140)*K139*100,1)</f>
        <v>99.2</v>
      </c>
    </row>
    <row r="147" spans="2:11">
      <c r="B147" s="2633" t="s">
        <v>2593</v>
      </c>
    </row>
    <row r="148" spans="2:11">
      <c r="B148" s="2633"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15661.49</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24235</v>
      </c>
      <c r="C2" s="2717" t="s">
        <v>2765</v>
      </c>
      <c r="D2" s="2718" t="s">
        <v>2766</v>
      </c>
      <c r="E2" s="2719" t="s">
        <v>27</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Ⅲ—16</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43510</v>
      </c>
      <c r="U2" s="1598"/>
      <c r="V2" s="1597">
        <f ca="1">ROUND(T2*U2/10000,0)</f>
        <v>0</v>
      </c>
      <c r="W2" s="1601"/>
      <c r="X2" s="1601"/>
      <c r="Y2" s="1601"/>
      <c r="Z2" s="1601"/>
      <c r="AA2" s="1601"/>
      <c r="AB2" s="1601"/>
      <c r="AC2" s="1602"/>
      <c r="AD2" s="1603"/>
      <c r="AE2" s="1603"/>
      <c r="AF2" s="1603"/>
      <c r="AG2" s="1603"/>
      <c r="AH2" s="1603"/>
      <c r="AI2" s="1603"/>
      <c r="AJ2" s="1604"/>
    </row>
    <row r="3" spans="1:36" ht="25.5">
      <c r="A3" s="247" t="s">
        <v>2770</v>
      </c>
      <c r="B3" s="248">
        <f ca="1">ROUND(B2*10000/D1,0)</f>
        <v>15474</v>
      </c>
      <c r="C3" s="2717" t="s">
        <v>2771</v>
      </c>
      <c r="D3" s="2718" t="s">
        <v>2772</v>
      </c>
      <c r="E3" s="2723" t="s">
        <v>3424</v>
      </c>
      <c r="F3" s="2724" t="s">
        <v>3426</v>
      </c>
      <c r="G3" s="912">
        <f>IF(F3="宗地容积率",'数据-汇总表'!I4,IF(F3="估价对象容积率",'数据-汇总表'!I6,'数据-汇总表'!I7))</f>
        <v>9.77</v>
      </c>
      <c r="H3" s="198" t="s">
        <v>2773</v>
      </c>
      <c r="I3" s="940"/>
      <c r="J3" s="2721" t="s">
        <v>2774</v>
      </c>
      <c r="K3" s="1366"/>
      <c r="L3" s="2722" t="s">
        <v>2775</v>
      </c>
      <c r="M3" s="1077">
        <f>SUMPRODUCT((区片价!B29:B48=I2)*(区片价!C3:F3=E2)*(区片价!C29:F48))</f>
        <v>21180</v>
      </c>
      <c r="N3" s="1079">
        <f>SUMPRODUCT((因素修正幅度!B29:B48=I2)*(因素修正幅度!C3:F3=E2)*(因素修正幅度!C29:F48))</f>
        <v>7.9000000000000001E-2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31232</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361"/>
      <c r="B4" s="3362"/>
      <c r="C4" s="3362"/>
      <c r="D4" s="3363"/>
      <c r="E4" s="3363"/>
      <c r="F4" s="3363"/>
      <c r="G4" s="3363"/>
      <c r="H4" s="3363"/>
      <c r="I4" s="3363"/>
      <c r="J4" s="3364"/>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25197</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21160</v>
      </c>
      <c r="D5" s="1782">
        <f>ROUND(C6+C16,0)</f>
        <v>21160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20217</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21180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17216</v>
      </c>
      <c r="U6" s="1598"/>
      <c r="V6" s="1597">
        <f t="shared" ca="1" si="1"/>
        <v>0</v>
      </c>
      <c r="W6" s="1601"/>
      <c r="X6" s="1601"/>
      <c r="Y6" s="1601"/>
      <c r="Z6" s="1601"/>
      <c r="AA6" s="1601"/>
      <c r="AB6" s="1601"/>
      <c r="AC6" s="2731"/>
      <c r="AD6" s="2732"/>
      <c r="AE6" s="2732"/>
      <c r="AF6" s="2732"/>
      <c r="AG6" s="2732"/>
      <c r="AH6" s="2732"/>
      <c r="AI6" s="2732"/>
      <c r="AJ6" s="2733"/>
    </row>
    <row r="7" spans="1:36" ht="24">
      <c r="A7" s="3345" t="str">
        <f>IF(E2="商业",IF(C8="不临58条商业街","",2),"")</f>
        <v/>
      </c>
      <c r="B7" s="2741" t="s">
        <v>2783</v>
      </c>
      <c r="C7" s="915" t="e">
        <f>IF(C8="不临58条商业街",1,ROUND(1+(1.6*E8+1.2*E9+0.8*E10+0.4*E11)*C9,4))</f>
        <v>#DIV/0!</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15140</v>
      </c>
      <c r="U7" s="1598"/>
      <c r="V7" s="1597">
        <f t="shared" ca="1" si="1"/>
        <v>0</v>
      </c>
      <c r="W7" s="1811" t="s">
        <v>2786</v>
      </c>
      <c r="X7" s="1599" t="str">
        <f>G2</f>
        <v>三级</v>
      </c>
      <c r="Y7" s="1599" t="s">
        <v>2787</v>
      </c>
      <c r="Z7" s="1600">
        <f>G3</f>
        <v>9.77</v>
      </c>
      <c r="AA7" s="1601"/>
      <c r="AB7" s="1601"/>
      <c r="AC7" s="1602"/>
      <c r="AD7" s="1603"/>
      <c r="AE7" s="1603"/>
      <c r="AF7" s="1603"/>
      <c r="AG7" s="1603"/>
      <c r="AH7" s="1603"/>
      <c r="AI7" s="1603"/>
      <c r="AJ7" s="1604"/>
    </row>
    <row r="8" spans="1:36" ht="15">
      <c r="A8" s="3365"/>
      <c r="B8" s="198" t="s">
        <v>2788</v>
      </c>
      <c r="C8" s="2746"/>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58" t="s">
        <v>2791</v>
      </c>
      <c r="X8" s="3359"/>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65"/>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60"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5"/>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6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5"/>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60" t="s">
        <v>2815</v>
      </c>
      <c r="X11" s="1609" t="s">
        <v>2816</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45"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60"/>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66"/>
      <c r="B13" s="2760" t="s">
        <v>2822</v>
      </c>
      <c r="C13" s="2761" t="s">
        <v>2823</v>
      </c>
      <c r="D13" s="1803" t="s">
        <v>2824</v>
      </c>
      <c r="E13" s="180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60"/>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66"/>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67"/>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45" t="s">
        <v>2834</v>
      </c>
      <c r="B16" s="2741" t="s">
        <v>2835</v>
      </c>
      <c r="C16" s="2928">
        <f>ROUND(IF(F17="与级别开发程度一致",0,(G17-E17)/C17),0)</f>
        <v>-20</v>
      </c>
      <c r="D16" s="3356" t="s">
        <v>2839</v>
      </c>
      <c r="E16" s="3357"/>
      <c r="F16" s="3356" t="s">
        <v>2836</v>
      </c>
      <c r="G16" s="335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4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0.77669999999999995</v>
      </c>
      <c r="D20" s="2794" t="s">
        <v>2848</v>
      </c>
      <c r="E20" s="1763">
        <f ca="1">存贷款利率!D4/100</f>
        <v>4.3499999999999997E-2</v>
      </c>
      <c r="F20" s="2794" t="s">
        <v>2840</v>
      </c>
      <c r="G20" s="930">
        <f ca="1">SUMIF(M26:P26,E2,M28:P28)</f>
        <v>5.1999999999999998E-2</v>
      </c>
      <c r="H20" s="2794" t="s">
        <v>2849</v>
      </c>
      <c r="I20" s="931">
        <f>SUMIF('数据-取费表'!C6:C15,E2,'数据-取费表'!F6:F15)/COUNTIF('数据-取费表'!C6:C15,E2)</f>
        <v>24.77</v>
      </c>
      <c r="J20" s="932">
        <f>IF(E2="住宅",70,IF(E2="商业",40,50))</f>
        <v>50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3425</v>
      </c>
      <c r="C21" s="933">
        <f>IF(B21="容积率修正",IF(G3&lt;=10,D22,J22),C23)</f>
        <v>0.72970000000000002</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1805" t="s">
        <v>2858</v>
      </c>
      <c r="D22" s="1805">
        <f>IF(E22=G22,F22,IF(G3&lt;=10,ROUND(F22+(H22-F22)*(G3-E22)/(G22-E22),4),"——"))</f>
        <v>0.72970000000000002</v>
      </c>
      <c r="E22" s="912">
        <f>ROUNDDOWN(G3,1)</f>
        <v>9.6999999999999993</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0.73070000000000002</v>
      </c>
      <c r="G22" s="912">
        <f>ROUNDUP(G3,1)</f>
        <v>9.7999999999999989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0.72929999999999995</v>
      </c>
      <c r="I22" s="1805"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0</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1.0411999999999999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24235</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313</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17043</v>
      </c>
      <c r="D29" s="2833">
        <f>'数据-汇总表'!F19+'数据-汇总表'!F24</f>
        <v>13485.73</v>
      </c>
      <c r="E29" s="938">
        <f ca="1">ROUND(C29*D29/10000,0)</f>
        <v>22984</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4261</v>
      </c>
      <c r="D30" s="2839"/>
      <c r="E30" s="938">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53" t="s">
        <v>2881</v>
      </c>
      <c r="B33" s="2849" t="s">
        <v>2882</v>
      </c>
      <c r="C33" s="206">
        <f ca="1">ROUND(D5*C19*C20*C24*F33,0)</f>
        <v>16349</v>
      </c>
      <c r="D33" s="2833"/>
      <c r="E33" s="200">
        <f ca="1">ROUND(C33*D33/10000,0)</f>
        <v>0</v>
      </c>
      <c r="F33" s="200">
        <f>SUMIF(修正!A45:A56,G2,修正!B45:B56)</f>
        <v>0.7</v>
      </c>
      <c r="G33" s="200">
        <f t="shared" ref="G33" ca="1" si="6">ROUND(IF(E2="工业",C33*$M$39,C33*$M$38),0)</f>
        <v>4087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4"/>
      <c r="B34" s="2761" t="s">
        <v>2883</v>
      </c>
      <c r="C34" s="206">
        <f ca="1">ROUND(D5*C19*C20*C24*F34,0)</f>
        <v>9343</v>
      </c>
      <c r="D34" s="2833"/>
      <c r="E34" s="200">
        <f t="shared" ref="E34:E39" ca="1" si="7">ROUND(C34*D34/10000,0)</f>
        <v>0</v>
      </c>
      <c r="F34" s="200">
        <f>SUMIF(修正!A45:A56,G2,修正!C45:C56)</f>
        <v>0.4</v>
      </c>
      <c r="G34" s="200">
        <f ca="1">ROUND(IF(E2="工业",C34*$M$39,C34*$M$38),0)</f>
        <v>2336</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4"/>
      <c r="B35" s="2761" t="s">
        <v>2884</v>
      </c>
      <c r="C35" s="206">
        <f ca="1">ROUND(D5*C19*C20*C24*F35,0)</f>
        <v>6540</v>
      </c>
      <c r="D35" s="2833"/>
      <c r="E35" s="200">
        <f t="shared" ca="1" si="7"/>
        <v>0</v>
      </c>
      <c r="F35" s="200">
        <f>SUMIF(修正!A45:A56,G2,修正!D45:D56)</f>
        <v>0.28000000000000003</v>
      </c>
      <c r="G35" s="200">
        <f ca="1">ROUND(IF(E2="工业",C35*$M$39,C35*$M$38),0)</f>
        <v>1635</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55"/>
      <c r="B36" s="2761" t="s">
        <v>2885</v>
      </c>
      <c r="C36" s="206">
        <f ca="1">ROUND(D5*C19*C20*C24*F36,0)</f>
        <v>5839</v>
      </c>
      <c r="D36" s="2833"/>
      <c r="E36" s="200">
        <f t="shared" ca="1" si="7"/>
        <v>0</v>
      </c>
      <c r="F36" s="200">
        <f>SUMIF(修正!A45:A56,G2,修正!E45:E56)</f>
        <v>0.25</v>
      </c>
      <c r="G36" s="200">
        <f ca="1">ROUND(IF(E2="工业",C36*$M$39,C36*$M$38),0)</f>
        <v>1460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5839</v>
      </c>
      <c r="D37" s="2833">
        <f>'数据-汇总表'!G23</f>
        <v>2010.68</v>
      </c>
      <c r="E37" s="200">
        <f t="shared" ca="1" si="7"/>
        <v>1174</v>
      </c>
      <c r="F37" s="206">
        <f>SUMIF(修正!A45:A56,G2,修正!F45:F56)</f>
        <v>0.25</v>
      </c>
      <c r="G37" s="200">
        <f ca="1">ROUND(IF(E2="工业",C37*$M$39,C37*$M$38),0)</f>
        <v>1460</v>
      </c>
      <c r="H37" s="200">
        <f t="shared" si="8"/>
        <v>2010.68</v>
      </c>
      <c r="I37" s="200">
        <f t="shared" ca="1" si="9"/>
        <v>294</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5839</v>
      </c>
      <c r="D38" s="2833"/>
      <c r="E38" s="200">
        <f t="shared" ca="1" si="7"/>
        <v>0</v>
      </c>
      <c r="F38" s="206">
        <f>SUMIF(修正!A45:A56,G2,修正!G45:G56)</f>
        <v>0.25</v>
      </c>
      <c r="G38" s="200">
        <f ca="1">ROUND(IF(E2="工业",C38*$M$39,C38*$M$38),0)</f>
        <v>1460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4671</v>
      </c>
      <c r="D39" s="2839">
        <f>'数据-汇总表'!G22</f>
        <v>165.07999999999998</v>
      </c>
      <c r="E39" s="229">
        <f t="shared" ca="1" si="7"/>
        <v>77</v>
      </c>
      <c r="F39" s="928">
        <f>SUMIF(修正!A45:A56,G2,修正!H45:H56)</f>
        <v>0.2</v>
      </c>
      <c r="G39" s="229">
        <f ca="1">ROUND(IF(E2="工业",C39*$M$39,C39*$M$38),0)</f>
        <v>1168</v>
      </c>
      <c r="H39" s="229">
        <f t="shared" si="8"/>
        <v>165.07999999999998</v>
      </c>
      <c r="I39" s="229">
        <f t="shared" ca="1" si="9"/>
        <v>19</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0.77669999999999995</v>
      </c>
      <c r="D41" s="200" t="s">
        <v>2840</v>
      </c>
      <c r="E41" s="2925">
        <f ca="1">G20</f>
        <v>5.1999999999999998E-2</v>
      </c>
      <c r="F41" s="200" t="s">
        <v>2849</v>
      </c>
      <c r="G41" s="218">
        <f>项目基本情况!F15</f>
        <v>24.77</v>
      </c>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1804" t="s">
        <v>2894</v>
      </c>
      <c r="C47" s="1804" t="s">
        <v>2895</v>
      </c>
      <c r="D47" s="1804" t="s">
        <v>2896</v>
      </c>
      <c r="E47" s="815" t="s">
        <v>2897</v>
      </c>
      <c r="F47" s="2867" t="s">
        <v>2898</v>
      </c>
      <c r="G47" s="1804" t="s">
        <v>754</v>
      </c>
      <c r="H47" s="2868" t="s">
        <v>2899</v>
      </c>
      <c r="I47" s="1804"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2904</v>
      </c>
      <c r="B51" s="2871" t="s">
        <v>2905</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2907</v>
      </c>
      <c r="B53" s="2872" t="s">
        <v>2908</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2912</v>
      </c>
      <c r="B57" s="2863">
        <f>1+E59</f>
        <v>1.0411999999999999</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1804"/>
      <c r="C58" s="1804" t="s">
        <v>2895</v>
      </c>
      <c r="D58" s="1804" t="s">
        <v>2896</v>
      </c>
      <c r="E58" s="815" t="s">
        <v>2897</v>
      </c>
      <c r="F58" s="2867" t="s">
        <v>2913</v>
      </c>
      <c r="G58" s="1804" t="s">
        <v>754</v>
      </c>
      <c r="H58" s="2868" t="s">
        <v>2899</v>
      </c>
      <c r="I58" s="1804"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t="s">
        <v>3065</v>
      </c>
      <c r="D59" s="1282">
        <f t="shared" ref="D59:D67" si="15">SUMIF($J$58:$N$58,C59,J59:N59)</f>
        <v>9.4000000000000004E-3</v>
      </c>
      <c r="E59" s="817">
        <f>ROUND(SUM(D59:D67),4)</f>
        <v>4.1200000000000001E-2</v>
      </c>
      <c r="F59" s="2497">
        <f>IF(E2="办公",SUMIF(L1:L12,G2,N1:N12),"——")</f>
        <v>7.9000000000000001E-2</v>
      </c>
      <c r="G59" s="1280">
        <v>9.4000000000000004E-3</v>
      </c>
      <c r="H59" s="1284">
        <f t="shared" ref="H59:H67" si="16">IFERROR(ROUNDDOWN($F$59*I59/2,4),"——")</f>
        <v>9.4000000000000004E-3</v>
      </c>
      <c r="I59" s="816">
        <v>0.24</v>
      </c>
      <c r="J59" s="1281">
        <f t="shared" ref="J59:J67" si="17">K59+$G59</f>
        <v>1.8800000000000001E-2</v>
      </c>
      <c r="K59" s="1281">
        <f t="shared" ref="K59:K67" si="18">$L59+$G59</f>
        <v>9.4000000000000004E-3</v>
      </c>
      <c r="L59" s="1281">
        <v>0</v>
      </c>
      <c r="M59" s="1281">
        <f t="shared" ref="M59:N67" si="19">L59-$G59</f>
        <v>-9.4000000000000004E-3</v>
      </c>
      <c r="N59" s="1281">
        <f t="shared" si="19"/>
        <v>-1.8800000000000001E-2</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t="s">
        <v>3065</v>
      </c>
      <c r="D60" s="1282">
        <f t="shared" si="15"/>
        <v>1.18E-2</v>
      </c>
      <c r="E60" s="818"/>
      <c r="F60" s="2497"/>
      <c r="G60" s="1280">
        <v>1.18E-2</v>
      </c>
      <c r="H60" s="1284">
        <f t="shared" si="16"/>
        <v>1.18E-2</v>
      </c>
      <c r="I60" s="816">
        <v>0.3</v>
      </c>
      <c r="J60" s="1281">
        <f t="shared" si="17"/>
        <v>2.3599999999999999E-2</v>
      </c>
      <c r="K60" s="1281">
        <f t="shared" si="18"/>
        <v>1.18E-2</v>
      </c>
      <c r="L60" s="1281">
        <v>0</v>
      </c>
      <c r="M60" s="1281">
        <f t="shared" si="19"/>
        <v>-1.18E-2</v>
      </c>
      <c r="N60" s="1281">
        <f t="shared" si="19"/>
        <v>-2.3599999999999999E-2</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t="s">
        <v>3065</v>
      </c>
      <c r="D61" s="1282">
        <f t="shared" si="15"/>
        <v>3.0999999999999999E-3</v>
      </c>
      <c r="E61" s="818"/>
      <c r="F61" s="2497"/>
      <c r="G61" s="1280">
        <v>3.0999999999999999E-3</v>
      </c>
      <c r="H61" s="1284">
        <f t="shared" si="16"/>
        <v>3.0999999999999999E-3</v>
      </c>
      <c r="I61" s="816">
        <v>0.08</v>
      </c>
      <c r="J61" s="1281">
        <f t="shared" si="17"/>
        <v>6.1999999999999998E-3</v>
      </c>
      <c r="K61" s="1281">
        <f t="shared" si="18"/>
        <v>3.0999999999999999E-3</v>
      </c>
      <c r="L61" s="1281">
        <v>0</v>
      </c>
      <c r="M61" s="1281">
        <f t="shared" si="19"/>
        <v>-3.0999999999999999E-3</v>
      </c>
      <c r="N61" s="1281">
        <f t="shared" si="19"/>
        <v>-6.1999999999999998E-3</v>
      </c>
      <c r="AA61" s="1367"/>
      <c r="AB61" s="1367"/>
      <c r="AC61" s="1367"/>
      <c r="AD61" s="1367"/>
      <c r="AE61" s="1367"/>
      <c r="AF61" s="1367"/>
      <c r="AG61" s="1367"/>
      <c r="AH61" s="1367"/>
      <c r="AI61" s="1367"/>
      <c r="AJ61" s="1367"/>
      <c r="AK61" s="1367"/>
    </row>
    <row r="62" spans="1:37" s="1366" customFormat="1" ht="36.75">
      <c r="A62" s="2866" t="s">
        <v>2904</v>
      </c>
      <c r="B62" s="2871" t="s">
        <v>2905</v>
      </c>
      <c r="C62" s="2766" t="s">
        <v>3065</v>
      </c>
      <c r="D62" s="1282">
        <f t="shared" si="15"/>
        <v>1.5E-3</v>
      </c>
      <c r="E62" s="818"/>
      <c r="F62" s="2497"/>
      <c r="G62" s="1280">
        <v>1.5E-3</v>
      </c>
      <c r="H62" s="1284">
        <f t="shared" si="16"/>
        <v>1.5E-3</v>
      </c>
      <c r="I62" s="816">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t="s">
        <v>3065</v>
      </c>
      <c r="D63" s="1282">
        <f t="shared" si="15"/>
        <v>1.9E-3</v>
      </c>
      <c r="E63" s="818"/>
      <c r="F63" s="2497"/>
      <c r="G63" s="1280">
        <v>1.9E-3</v>
      </c>
      <c r="H63" s="1284">
        <f t="shared" si="16"/>
        <v>1.9E-3</v>
      </c>
      <c r="I63" s="816">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6" t="s">
        <v>2907</v>
      </c>
      <c r="B64" s="2872" t="s">
        <v>2908</v>
      </c>
      <c r="C64" s="2766" t="s">
        <v>3065</v>
      </c>
      <c r="D64" s="1282">
        <f t="shared" si="15"/>
        <v>1.9E-3</v>
      </c>
      <c r="E64" s="818"/>
      <c r="F64" s="2497"/>
      <c r="G64" s="1280">
        <v>1.9E-3</v>
      </c>
      <c r="H64" s="1284">
        <f t="shared" si="16"/>
        <v>1.9E-3</v>
      </c>
      <c r="I64" s="816">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t="s">
        <v>3065</v>
      </c>
      <c r="D65" s="1282">
        <f t="shared" si="15"/>
        <v>2.3E-3</v>
      </c>
      <c r="E65" s="818"/>
      <c r="F65" s="2497"/>
      <c r="G65" s="1280">
        <v>2.3E-3</v>
      </c>
      <c r="H65" s="1284">
        <f t="shared" si="16"/>
        <v>2.3E-3</v>
      </c>
      <c r="I65" s="816">
        <v>0.06</v>
      </c>
      <c r="J65" s="1281">
        <f t="shared" si="17"/>
        <v>4.5999999999999999E-3</v>
      </c>
      <c r="K65" s="1281">
        <f t="shared" si="18"/>
        <v>2.3E-3</v>
      </c>
      <c r="L65" s="1281">
        <v>0</v>
      </c>
      <c r="M65" s="1281">
        <f t="shared" si="19"/>
        <v>-2.3E-3</v>
      </c>
      <c r="N65" s="1281">
        <f t="shared" si="19"/>
        <v>-4.5999999999999999E-3</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t="s">
        <v>3065</v>
      </c>
      <c r="D66" s="1282">
        <f t="shared" si="15"/>
        <v>4.7000000000000002E-3</v>
      </c>
      <c r="E66" s="818"/>
      <c r="F66" s="2497"/>
      <c r="G66" s="1280">
        <v>4.7000000000000002E-3</v>
      </c>
      <c r="H66" s="1284">
        <f t="shared" si="16"/>
        <v>4.7000000000000002E-3</v>
      </c>
      <c r="I66" s="816">
        <v>0.12</v>
      </c>
      <c r="J66" s="1281">
        <f t="shared" si="17"/>
        <v>9.4000000000000004E-3</v>
      </c>
      <c r="K66" s="1281">
        <f t="shared" si="18"/>
        <v>4.7000000000000002E-3</v>
      </c>
      <c r="L66" s="1281">
        <v>0</v>
      </c>
      <c r="M66" s="1281">
        <f t="shared" si="19"/>
        <v>-4.7000000000000002E-3</v>
      </c>
      <c r="N66" s="1281">
        <f t="shared" si="19"/>
        <v>-9.4000000000000004E-3</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t="s">
        <v>3360</v>
      </c>
      <c r="D67" s="1282">
        <f t="shared" si="15"/>
        <v>4.5999999999999999E-3</v>
      </c>
      <c r="E67" s="821"/>
      <c r="F67" s="2497"/>
      <c r="G67" s="1280">
        <v>2.3E-3</v>
      </c>
      <c r="H67" s="1284">
        <f t="shared" si="16"/>
        <v>2.3E-3</v>
      </c>
      <c r="I67" s="820">
        <v>0.06</v>
      </c>
      <c r="J67" s="1281">
        <f t="shared" si="17"/>
        <v>4.5999999999999999E-3</v>
      </c>
      <c r="K67" s="1281">
        <f t="shared" si="18"/>
        <v>2.3E-3</v>
      </c>
      <c r="L67" s="1281">
        <v>0</v>
      </c>
      <c r="M67" s="1281">
        <f t="shared" si="19"/>
        <v>-2.3E-3</v>
      </c>
      <c r="N67" s="1281">
        <f t="shared" si="19"/>
        <v>-4.5999999999999999E-3</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1804"/>
      <c r="C69" s="1804" t="s">
        <v>2895</v>
      </c>
      <c r="D69" s="1804" t="s">
        <v>2896</v>
      </c>
      <c r="E69" s="815" t="s">
        <v>2897</v>
      </c>
      <c r="F69" s="2867" t="s">
        <v>2913</v>
      </c>
      <c r="G69" s="1804" t="s">
        <v>754</v>
      </c>
      <c r="H69" s="2868" t="s">
        <v>2899</v>
      </c>
      <c r="I69" s="1804"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2766"/>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1804"/>
      <c r="C80" s="1804" t="s">
        <v>2895</v>
      </c>
      <c r="D80" s="1804" t="s">
        <v>2896</v>
      </c>
      <c r="E80" s="815" t="s">
        <v>2897</v>
      </c>
      <c r="F80" s="2867" t="s">
        <v>2913</v>
      </c>
      <c r="G80" s="1804" t="s">
        <v>754</v>
      </c>
      <c r="H80" s="2868" t="s">
        <v>2899</v>
      </c>
      <c r="I80" s="1804"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47" t="s">
        <v>2923</v>
      </c>
      <c r="B90" s="3347"/>
      <c r="C90" s="3347"/>
      <c r="D90" s="3347"/>
      <c r="E90" s="3347"/>
      <c r="F90" s="3347"/>
      <c r="G90" s="3347"/>
      <c r="H90" s="3347"/>
      <c r="I90" s="3347"/>
      <c r="J90" s="3347"/>
      <c r="K90" s="2880"/>
      <c r="L90" s="2880"/>
      <c r="M90" s="2880"/>
      <c r="N90" s="2880"/>
    </row>
    <row r="91" spans="1:37">
      <c r="A91" s="3349" t="s">
        <v>2924</v>
      </c>
      <c r="B91" s="3349" t="s">
        <v>2925</v>
      </c>
      <c r="C91" s="2834" t="s">
        <v>2926</v>
      </c>
      <c r="D91" s="2835"/>
      <c r="E91" s="2835"/>
      <c r="F91" s="2835"/>
      <c r="G91" s="2835"/>
      <c r="H91" s="2835"/>
      <c r="I91" s="2835"/>
      <c r="J91" s="2881"/>
      <c r="K91" s="2882"/>
      <c r="L91" s="2882"/>
      <c r="M91" s="2882"/>
      <c r="N91" s="2882"/>
    </row>
    <row r="92" spans="1:37">
      <c r="A92" s="3349"/>
      <c r="B92" s="3349"/>
      <c r="C92" s="938" t="s">
        <v>2792</v>
      </c>
      <c r="D92" s="938" t="s">
        <v>2793</v>
      </c>
      <c r="E92" s="938" t="s">
        <v>2794</v>
      </c>
      <c r="F92" s="938" t="s">
        <v>2795</v>
      </c>
      <c r="G92" s="938" t="s">
        <v>2796</v>
      </c>
      <c r="H92" s="938" t="s">
        <v>2797</v>
      </c>
      <c r="I92" s="938" t="s">
        <v>2798</v>
      </c>
      <c r="J92" s="938" t="s">
        <v>2799</v>
      </c>
      <c r="K92" s="938" t="s">
        <v>2800</v>
      </c>
      <c r="L92" s="938" t="s">
        <v>2801</v>
      </c>
      <c r="M92" s="938" t="s">
        <v>2802</v>
      </c>
      <c r="N92" s="938" t="s">
        <v>2803</v>
      </c>
    </row>
    <row r="93" spans="1:37">
      <c r="A93" s="335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1"/>
      <c r="B99" s="2883" t="s">
        <v>2808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5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5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5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5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5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5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5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5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51"/>
      <c r="B108" s="3204" t="s">
        <v>2930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52"/>
      <c r="B109" s="3205"/>
      <c r="C109" s="2886">
        <f>(-0.163*(C108^2)-0.59*C108+7617)*(10^(-4))/C101</f>
        <v>7.7963152507676575E-2</v>
      </c>
      <c r="D109" s="2886">
        <f>(-0.163*(D108^2)-0.59*D108+7617)*(10^(-4))/D101</f>
        <v>7.7963152507676575E-2</v>
      </c>
      <c r="E109" s="2886">
        <f>(-0.161*(E108^2)-7.509*E108+6533)*(10^(-4))/E101</f>
        <v>6.6867963152507676E-2</v>
      </c>
      <c r="F109" s="2886">
        <f>(-0.161*(F108^2)-7.509*F108+6533)*(10^(-4))/F101</f>
        <v>6.6867963152507676E-2</v>
      </c>
      <c r="G109" s="2886">
        <f>(-0.161*(G108^2)-7.509*G108+6533)*(10^(-4))/G101</f>
        <v>6.6867963152507676E-2</v>
      </c>
      <c r="H109" s="2886">
        <f>(-0.161*(H108^2)-7.509*H108+6533)*(10^(-4))/H101</f>
        <v>6.6867963152507676E-2</v>
      </c>
      <c r="I109" s="2886">
        <f>(-0.161*(I108^2)-7.509*I108+6533)*(10^(-4))/I101</f>
        <v>6.6867963152507676E-2</v>
      </c>
      <c r="J109" s="2886">
        <f>(-0.214*(J108^2)-21.991*J108+4665)*(10^(-4))/J101</f>
        <v>4.7748208802456504E-2</v>
      </c>
      <c r="K109" s="2886">
        <f>(-0.214*(K108^2)-21.991*K108+4665)*(10^(-4))/K101</f>
        <v>4.7748208802456504E-2</v>
      </c>
      <c r="L109" s="2886">
        <f>(-0.214*(L108^2)-21.991*L108+4665)*(10^(-4))/L101</f>
        <v>4.7748208802456504E-2</v>
      </c>
      <c r="M109" s="2886">
        <f>(-0.214*(M108^2)-21.991*M108+4665)*(10^(-4))/M101</f>
        <v>4.7748208802456504E-2</v>
      </c>
      <c r="N109" s="2886">
        <f>(-0.214*(N108^2)-21.991*N108+4665)*(10^(-4))/N101</f>
        <v>4.7748208802456504E-2</v>
      </c>
    </row>
    <row r="110" spans="1:14">
      <c r="A110" s="3348" t="s">
        <v>2931</v>
      </c>
      <c r="B110" s="3348"/>
      <c r="C110" s="3348"/>
      <c r="D110" s="3348"/>
      <c r="E110" s="3348"/>
      <c r="F110" s="3348"/>
      <c r="G110" s="3348"/>
      <c r="H110" s="3348"/>
      <c r="I110" s="3348"/>
      <c r="J110" s="3348"/>
      <c r="K110" s="2889"/>
      <c r="L110" s="2889"/>
      <c r="M110" s="2889"/>
      <c r="N110" s="2889"/>
    </row>
    <row r="112" spans="1:14" ht="13.5" thickBot="1"/>
    <row r="113" spans="1:13" ht="25.5" thickBot="1">
      <c r="A113" s="899" t="s">
        <v>2932</v>
      </c>
      <c r="B113" s="1283">
        <f>G3</f>
        <v>9.77</v>
      </c>
      <c r="C113" s="900" t="s">
        <v>2933</v>
      </c>
      <c r="D113" s="901">
        <f>SUMPRODUCT((A115:A118=F113)*(B114:M114=H113)*B115:M118)</f>
        <v>0.72970000000000002</v>
      </c>
      <c r="E113" s="2720" t="s">
        <v>2766</v>
      </c>
      <c r="F113" s="2891" t="str">
        <f>E2</f>
        <v>办公</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0</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0</v>
      </c>
      <c r="C2" s="2717" t="s">
        <v>2765</v>
      </c>
      <c r="D2" s="2718" t="s">
        <v>2766</v>
      </c>
      <c r="E2" s="2719" t="s">
        <v>1369</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Ⅲ—18</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38367</v>
      </c>
      <c r="U2" s="1598">
        <f>'数据-汇总表'!F20</f>
        <v>2404.44</v>
      </c>
      <c r="V2" s="1597">
        <f ca="1">ROUND(T2*U2/10000,0)</f>
        <v>9225</v>
      </c>
      <c r="W2" s="1601"/>
      <c r="X2" s="1601"/>
      <c r="Y2" s="1601"/>
      <c r="Z2" s="1601"/>
      <c r="AA2" s="1601"/>
      <c r="AB2" s="1601"/>
      <c r="AC2" s="1602"/>
      <c r="AD2" s="1603"/>
      <c r="AE2" s="1603"/>
      <c r="AF2" s="1603"/>
      <c r="AG2" s="1603"/>
      <c r="AH2" s="1603"/>
      <c r="AI2" s="1603"/>
      <c r="AJ2" s="1604"/>
    </row>
    <row r="3" spans="1:36" ht="25.5">
      <c r="A3" s="247" t="s">
        <v>2770</v>
      </c>
      <c r="B3" s="248" t="e">
        <f ca="1">ROUND(B2*10000/D1,0)</f>
        <v>#DIV/0!</v>
      </c>
      <c r="C3" s="2717" t="s">
        <v>2771</v>
      </c>
      <c r="D3" s="2718" t="s">
        <v>2772</v>
      </c>
      <c r="E3" s="2723" t="s">
        <v>3429</v>
      </c>
      <c r="F3" s="2724" t="s">
        <v>3426</v>
      </c>
      <c r="G3" s="912">
        <f>IF(F3="宗地容积率",'数据-汇总表'!I4,IF(F3="估价对象容积率",'数据-汇总表'!I6,'数据-汇总表'!I7))</f>
        <v>9.77</v>
      </c>
      <c r="H3" s="198" t="s">
        <v>2773</v>
      </c>
      <c r="I3" s="940">
        <v>1</v>
      </c>
      <c r="J3" s="2721" t="s">
        <v>2774</v>
      </c>
      <c r="K3" s="1366"/>
      <c r="L3" s="2722" t="s">
        <v>2775</v>
      </c>
      <c r="M3" s="1077">
        <f>SUMPRODUCT((区片价!B29:B48=I2)*(区片价!C3:F3=E2)*(区片价!C29:F48))</f>
        <v>21660</v>
      </c>
      <c r="N3" s="1079">
        <f>SUMPRODUCT((因素修正幅度!B29:B48=I2)*(因素修正幅度!C3:F3=E2)*(因素修正幅度!C29:F48))</f>
        <v>8.5999999999999993E-2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27540</v>
      </c>
      <c r="U3" s="1598">
        <f>'数据-汇总表'!F21</f>
        <v>3216.4900000000002</v>
      </c>
      <c r="V3" s="1597">
        <f t="shared" ref="V3:V16" ca="1" si="1">ROUND(T3*U3/10000,0)</f>
        <v>8858</v>
      </c>
      <c r="W3" s="1601"/>
      <c r="X3" s="1601"/>
      <c r="Y3" s="1601"/>
      <c r="Z3" s="1601"/>
      <c r="AA3" s="1601"/>
      <c r="AB3" s="1601"/>
      <c r="AC3" s="1602"/>
      <c r="AD3" s="1603"/>
      <c r="AE3" s="1603"/>
      <c r="AF3" s="1603"/>
      <c r="AG3" s="1603"/>
      <c r="AH3" s="1603"/>
      <c r="AI3" s="1603"/>
      <c r="AJ3" s="1604"/>
    </row>
    <row r="4" spans="1:36" ht="15.75">
      <c r="A4" s="3361"/>
      <c r="B4" s="3362"/>
      <c r="C4" s="3362"/>
      <c r="D4" s="3363"/>
      <c r="E4" s="3363"/>
      <c r="F4" s="3363"/>
      <c r="G4" s="3363"/>
      <c r="H4" s="3363"/>
      <c r="I4" s="3363"/>
      <c r="J4" s="3364"/>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22218</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21640</v>
      </c>
      <c r="D5" s="1782">
        <f>ROUND(C6+C16,0)</f>
        <v>21640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17827</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21660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15181</v>
      </c>
      <c r="U6" s="1598"/>
      <c r="V6" s="1597">
        <f t="shared" ca="1" si="1"/>
        <v>0</v>
      </c>
      <c r="W6" s="1601"/>
      <c r="X6" s="1601"/>
      <c r="Y6" s="1601"/>
      <c r="Z6" s="1601"/>
      <c r="AA6" s="1601"/>
      <c r="AB6" s="1601"/>
      <c r="AC6" s="2731"/>
      <c r="AD6" s="2732"/>
      <c r="AE6" s="2732"/>
      <c r="AF6" s="2732"/>
      <c r="AG6" s="2732"/>
      <c r="AH6" s="2732"/>
      <c r="AI6" s="2732"/>
      <c r="AJ6" s="2733"/>
    </row>
    <row r="7" spans="1:36" ht="24">
      <c r="A7" s="3345" t="str">
        <f>IF(E2="商业",IF(C8="不临58条商业街","",2),"")</f>
        <v/>
      </c>
      <c r="B7" s="2741" t="s">
        <v>2783</v>
      </c>
      <c r="C7" s="915">
        <f>IF(C8="不临58条商业街",1,ROUND(1+(1.6*E8+1.2*E9+0.8*E10+0.4*E11)*C9,4))</f>
        <v>1</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13350</v>
      </c>
      <c r="U7" s="1598"/>
      <c r="V7" s="1597">
        <f t="shared" ca="1" si="1"/>
        <v>0</v>
      </c>
      <c r="W7" s="2986" t="s">
        <v>2786</v>
      </c>
      <c r="X7" s="1599" t="str">
        <f>G2</f>
        <v>三级</v>
      </c>
      <c r="Y7" s="1599" t="s">
        <v>2787</v>
      </c>
      <c r="Z7" s="1600">
        <f>G3</f>
        <v>9.77</v>
      </c>
      <c r="AA7" s="1601"/>
      <c r="AB7" s="1601"/>
      <c r="AC7" s="1602"/>
      <c r="AD7" s="1603"/>
      <c r="AE7" s="1603"/>
      <c r="AF7" s="1603"/>
      <c r="AG7" s="1603"/>
      <c r="AH7" s="1603"/>
      <c r="AI7" s="1603"/>
      <c r="AJ7" s="1604"/>
    </row>
    <row r="8" spans="1:36" ht="25.5">
      <c r="A8" s="3365"/>
      <c r="B8" s="198" t="s">
        <v>2788</v>
      </c>
      <c r="C8" s="2746" t="s">
        <v>3432</v>
      </c>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58" t="s">
        <v>2791</v>
      </c>
      <c r="X8" s="3359"/>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65"/>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60"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5"/>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6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5"/>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60" t="s">
        <v>2815</v>
      </c>
      <c r="X11" s="1609" t="s">
        <v>2787</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45"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60"/>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66"/>
      <c r="B13" s="2760" t="s">
        <v>2822</v>
      </c>
      <c r="C13" s="2761" t="s">
        <v>2823</v>
      </c>
      <c r="D13" s="2983" t="s">
        <v>2824</v>
      </c>
      <c r="E13" s="298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60"/>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66"/>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67"/>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45" t="s">
        <v>2834</v>
      </c>
      <c r="B16" s="2741" t="s">
        <v>2835</v>
      </c>
      <c r="C16" s="2981">
        <f>ROUND(IF(F17="与级别开发程度一致",0,(G17-E17)/C17),0)</f>
        <v>-20</v>
      </c>
      <c r="D16" s="3356" t="s">
        <v>2839</v>
      </c>
      <c r="E16" s="3357"/>
      <c r="F16" s="3356" t="s">
        <v>2836</v>
      </c>
      <c r="G16" s="335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4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1.1000000000000001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0.6149</v>
      </c>
      <c r="D20" s="2794" t="s">
        <v>2848</v>
      </c>
      <c r="E20" s="1763">
        <f ca="1">存贷款利率!D4/100</f>
        <v>4.3499999999999997E-2</v>
      </c>
      <c r="F20" s="2794" t="s">
        <v>2840</v>
      </c>
      <c r="G20" s="930">
        <f ca="1">SUMIF(M26:P26,E2,M28:P28)</f>
        <v>5.3999999999999999E-2</v>
      </c>
      <c r="H20" s="2794" t="s">
        <v>2849</v>
      </c>
      <c r="I20" s="2990">
        <f>SUMIF('数据-取费表'!C6:C15,E2,'数据-取费表'!F6:F15)/COUNTIF('数据-取费表'!C6:C15,E2)</f>
        <v>14.76</v>
      </c>
      <c r="J20" s="932">
        <f>IF(E2="住宅",70,IF(E2="商业",40,50))</f>
        <v>40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2854</v>
      </c>
      <c r="C21" s="2985">
        <f>IF(B21="容积率修正",IF(G3&lt;=10,D22,J22),C23)</f>
        <v>1.8629</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2984" t="s">
        <v>2858</v>
      </c>
      <c r="D22" s="2984">
        <f>IF(E22=G22,F22,IF(G3&lt;=10,ROUND(F22+(H22-F22)*(G3-E22)/(G22-E22),4),"——"))</f>
        <v>0.72670000000000001</v>
      </c>
      <c r="E22" s="912">
        <f>ROUNDDOWN(G3,1)</f>
        <v>9.6999999999999993</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912">
        <f>ROUNDUP(G3,1)</f>
        <v>9.7999999999999989</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2984"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1.0308999999999999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0</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0</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38367</v>
      </c>
      <c r="D29" s="2833"/>
      <c r="E29" s="2989">
        <f ca="1">ROUND(C29*D29/10000,0)</f>
        <v>0</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9592</v>
      </c>
      <c r="D30" s="2839"/>
      <c r="E30" s="2989">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53" t="s">
        <v>2881</v>
      </c>
      <c r="B33" s="2849" t="s">
        <v>2882</v>
      </c>
      <c r="C33" s="206">
        <f ca="1">ROUND(D5*C19*C20*C24*F33,0)</f>
        <v>13106</v>
      </c>
      <c r="D33" s="2833"/>
      <c r="E33" s="200">
        <f ca="1">ROUND(C33*D33/10000,0)</f>
        <v>0</v>
      </c>
      <c r="F33" s="200">
        <f>SUMIF(修正!A45:A56,G2,修正!B45:B56)</f>
        <v>0.7</v>
      </c>
      <c r="G33" s="200">
        <f t="shared" ref="G33" ca="1" si="6">ROUND(IF(E2="工业",C33*$M$39,C33*$M$38),0)</f>
        <v>3277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4"/>
      <c r="B34" s="2761" t="s">
        <v>2883</v>
      </c>
      <c r="C34" s="206">
        <f ca="1">ROUND(D5*C19*C20*C24*F34,0)</f>
        <v>7489</v>
      </c>
      <c r="D34" s="2833"/>
      <c r="E34" s="200">
        <f t="shared" ref="E34:E39" ca="1" si="7">ROUND(C34*D34/10000,0)</f>
        <v>0</v>
      </c>
      <c r="F34" s="200">
        <f>SUMIF(修正!A45:A56,G2,修正!C45:C56)</f>
        <v>0.4</v>
      </c>
      <c r="G34" s="200">
        <f ca="1">ROUND(IF(E2="工业",C34*$M$39,C34*$M$38),0)</f>
        <v>1872</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4"/>
      <c r="B35" s="2761" t="s">
        <v>2884</v>
      </c>
      <c r="C35" s="206">
        <f ca="1">ROUND(D5*C19*C20*C24*F35,0)</f>
        <v>5242</v>
      </c>
      <c r="D35" s="2833"/>
      <c r="E35" s="200">
        <f t="shared" ca="1" si="7"/>
        <v>0</v>
      </c>
      <c r="F35" s="200">
        <f>SUMIF(修正!A45:A56,G2,修正!D45:D56)</f>
        <v>0.28000000000000003</v>
      </c>
      <c r="G35" s="200">
        <f ca="1">ROUND(IF(E2="工业",C35*$M$39,C35*$M$38),0)</f>
        <v>1311</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55"/>
      <c r="B36" s="2761" t="s">
        <v>2885</v>
      </c>
      <c r="C36" s="206">
        <f ca="1">ROUND(D5*C19*C20*C24*F36,0)</f>
        <v>4681</v>
      </c>
      <c r="D36" s="2833"/>
      <c r="E36" s="200">
        <f t="shared" ca="1" si="7"/>
        <v>0</v>
      </c>
      <c r="F36" s="200">
        <f>SUMIF(修正!A45:A56,G2,修正!E45:E56)</f>
        <v>0.25</v>
      </c>
      <c r="G36" s="200">
        <f ca="1">ROUND(IF(E2="工业",C36*$M$39,C36*$M$38),0)</f>
        <v>1170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4681</v>
      </c>
      <c r="D37" s="2833"/>
      <c r="E37" s="200">
        <f t="shared" ca="1" si="7"/>
        <v>0</v>
      </c>
      <c r="F37" s="206">
        <f>SUMIF(修正!A45:A56,G2,修正!F45:F56)</f>
        <v>0.25</v>
      </c>
      <c r="G37" s="200">
        <f ca="1">ROUND(IF(E2="工业",C37*$M$39,C37*$M$38),0)</f>
        <v>1170</v>
      </c>
      <c r="H37" s="200">
        <f t="shared" si="8"/>
        <v>0</v>
      </c>
      <c r="I37" s="200">
        <f t="shared" ca="1" si="9"/>
        <v>0</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0</v>
      </c>
      <c r="D39" s="2839"/>
      <c r="E39" s="229">
        <f t="shared" ca="1" si="7"/>
        <v>0</v>
      </c>
      <c r="F39" s="928">
        <f>SUMIF(修正!A45:A56,G2,修正!H45:H56)</f>
        <v>0.2</v>
      </c>
      <c r="G39" s="229">
        <f ca="1">ROUND(IF(E2="工业",C39*$M$39,C39*$M$38),0)</f>
        <v>0</v>
      </c>
      <c r="H39" s="229">
        <f t="shared" si="8"/>
        <v>0</v>
      </c>
      <c r="I39" s="229">
        <f t="shared" ca="1" si="9"/>
        <v>0</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v>
      </c>
      <c r="D41" s="200" t="s">
        <v>2840</v>
      </c>
      <c r="E41" s="2925">
        <f ca="1">G20</f>
        <v>5.3999999999999999E-2</v>
      </c>
      <c r="F41" s="200" t="s">
        <v>2849</v>
      </c>
      <c r="G41" s="218"/>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1.0308999999999999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2982" t="s">
        <v>2894</v>
      </c>
      <c r="C47" s="2982" t="s">
        <v>2895</v>
      </c>
      <c r="D47" s="2982" t="s">
        <v>2896</v>
      </c>
      <c r="E47" s="815" t="s">
        <v>2897</v>
      </c>
      <c r="F47" s="2867" t="s">
        <v>2898</v>
      </c>
      <c r="G47" s="2982" t="s">
        <v>754</v>
      </c>
      <c r="H47" s="2868" t="s">
        <v>2899</v>
      </c>
      <c r="I47" s="2982"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t="s">
        <v>3363</v>
      </c>
      <c r="D48" s="1282">
        <f t="shared" ref="D48:D56" si="10">SUMIF($J$47:$N$47,C48,J48:N48)</f>
        <v>0</v>
      </c>
      <c r="E48" s="817">
        <f>ROUND(SUM(D48:D56),4)</f>
        <v>3.09E-2</v>
      </c>
      <c r="F48" s="2497">
        <f>IF(E2="商业",SUMIF(L1:L12,G2,N1:N12),"——")</f>
        <v>8.5999999999999993E-2</v>
      </c>
      <c r="G48" s="1280">
        <v>1.41E-2</v>
      </c>
      <c r="H48" s="1284">
        <f t="shared" ref="H48:H56" si="11">IFERROR(ROUNDDOWN($F$48*I48/2,4),"——")</f>
        <v>1.41E-2</v>
      </c>
      <c r="I48" s="816">
        <v>0.33</v>
      </c>
      <c r="J48" s="1281">
        <f t="shared" ref="J48:J56" si="12">K48+$G48</f>
        <v>2.8199999999999999E-2</v>
      </c>
      <c r="K48" s="1281">
        <f t="shared" ref="K48:K56" si="13">$L48+$G48</f>
        <v>1.41E-2</v>
      </c>
      <c r="L48" s="1281">
        <v>0</v>
      </c>
      <c r="M48" s="1281">
        <f t="shared" ref="M48:N56" si="14">L48-$G48</f>
        <v>-1.41E-2</v>
      </c>
      <c r="N48" s="1281">
        <f t="shared" si="14"/>
        <v>-2.8199999999999999E-2</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3079" t="s">
        <v>3431</v>
      </c>
      <c r="D49" s="1282">
        <f t="shared" si="10"/>
        <v>1.0699999999999999E-2</v>
      </c>
      <c r="E49" s="818"/>
      <c r="F49" s="2497"/>
      <c r="G49" s="1280">
        <v>1.0699999999999999E-2</v>
      </c>
      <c r="H49" s="1284">
        <f t="shared" si="11"/>
        <v>1.0699999999999999E-2</v>
      </c>
      <c r="I49" s="816">
        <v>0.25</v>
      </c>
      <c r="J49" s="1281">
        <f t="shared" si="12"/>
        <v>2.1399999999999999E-2</v>
      </c>
      <c r="K49" s="1281">
        <f t="shared" si="13"/>
        <v>1.0699999999999999E-2</v>
      </c>
      <c r="L49" s="1281">
        <v>0</v>
      </c>
      <c r="M49" s="1281">
        <f t="shared" si="14"/>
        <v>-1.0699999999999999E-2</v>
      </c>
      <c r="N49" s="1281">
        <f t="shared" si="14"/>
        <v>-2.1399999999999999E-2</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3079" t="s">
        <v>3431</v>
      </c>
      <c r="D50" s="1282">
        <f t="shared" si="10"/>
        <v>2.0999999999999999E-3</v>
      </c>
      <c r="E50" s="818"/>
      <c r="F50" s="2497"/>
      <c r="G50" s="1280">
        <v>2.0999999999999999E-3</v>
      </c>
      <c r="H50" s="1284">
        <f t="shared" si="11"/>
        <v>2.0999999999999999E-3</v>
      </c>
      <c r="I50" s="816">
        <v>0.05</v>
      </c>
      <c r="J50" s="1281">
        <f t="shared" si="12"/>
        <v>4.1999999999999997E-3</v>
      </c>
      <c r="K50" s="1281">
        <f t="shared" si="13"/>
        <v>2.0999999999999999E-3</v>
      </c>
      <c r="L50" s="1281">
        <v>0</v>
      </c>
      <c r="M50" s="1281">
        <f t="shared" si="14"/>
        <v>-2.0999999999999999E-3</v>
      </c>
      <c r="N50" s="1281">
        <f t="shared" si="14"/>
        <v>-4.1999999999999997E-3</v>
      </c>
      <c r="AA50" s="1367"/>
      <c r="AB50" s="1367"/>
      <c r="AC50" s="1367"/>
      <c r="AD50" s="1367"/>
      <c r="AE50" s="1367"/>
      <c r="AF50" s="1367"/>
      <c r="AG50" s="1367"/>
      <c r="AH50" s="1367"/>
      <c r="AI50" s="1367"/>
      <c r="AJ50" s="1367"/>
      <c r="AK50" s="1367"/>
    </row>
    <row r="51" spans="1:37" s="1366" customFormat="1" ht="36.75">
      <c r="A51" s="2866" t="s">
        <v>2904</v>
      </c>
      <c r="B51" s="2871" t="s">
        <v>2905</v>
      </c>
      <c r="C51" s="3079" t="s">
        <v>3431</v>
      </c>
      <c r="D51" s="1282">
        <f t="shared" si="10"/>
        <v>2.0999999999999999E-3</v>
      </c>
      <c r="E51" s="818"/>
      <c r="F51" s="2497"/>
      <c r="G51" s="1280">
        <v>2.0999999999999999E-3</v>
      </c>
      <c r="H51" s="1284">
        <f t="shared" si="11"/>
        <v>2.0999999999999999E-3</v>
      </c>
      <c r="I51" s="816">
        <v>0.05</v>
      </c>
      <c r="J51" s="1281">
        <f t="shared" si="12"/>
        <v>4.1999999999999997E-3</v>
      </c>
      <c r="K51" s="1281">
        <f t="shared" si="13"/>
        <v>2.0999999999999999E-3</v>
      </c>
      <c r="L51" s="1281">
        <v>0</v>
      </c>
      <c r="M51" s="1281">
        <f t="shared" si="14"/>
        <v>-2.0999999999999999E-3</v>
      </c>
      <c r="N51" s="1281">
        <f t="shared" si="14"/>
        <v>-4.1999999999999997E-3</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3079" t="s">
        <v>3431</v>
      </c>
      <c r="D52" s="1282">
        <f t="shared" si="10"/>
        <v>3.3999999999999998E-3</v>
      </c>
      <c r="E52" s="818"/>
      <c r="F52" s="2497"/>
      <c r="G52" s="1280">
        <v>3.3999999999999998E-3</v>
      </c>
      <c r="H52" s="1284">
        <f t="shared" si="11"/>
        <v>3.3999999999999998E-3</v>
      </c>
      <c r="I52" s="816">
        <v>0.08</v>
      </c>
      <c r="J52" s="1281">
        <f t="shared" si="12"/>
        <v>6.7999999999999996E-3</v>
      </c>
      <c r="K52" s="1281">
        <f t="shared" si="13"/>
        <v>3.3999999999999998E-3</v>
      </c>
      <c r="L52" s="1281">
        <v>0</v>
      </c>
      <c r="M52" s="1281">
        <f t="shared" si="14"/>
        <v>-3.3999999999999998E-3</v>
      </c>
      <c r="N52" s="1281">
        <f t="shared" si="14"/>
        <v>-6.7999999999999996E-3</v>
      </c>
      <c r="AA52" s="1367"/>
      <c r="AB52" s="1367"/>
      <c r="AC52" s="1367"/>
      <c r="AD52" s="1367"/>
      <c r="AE52" s="1367"/>
      <c r="AF52" s="1367"/>
      <c r="AG52" s="1367"/>
      <c r="AH52" s="1367"/>
      <c r="AI52" s="1367"/>
      <c r="AJ52" s="1367"/>
      <c r="AK52" s="1367"/>
    </row>
    <row r="53" spans="1:37" s="1366" customFormat="1" ht="24">
      <c r="A53" s="2866" t="s">
        <v>2907</v>
      </c>
      <c r="B53" s="2872" t="s">
        <v>2908</v>
      </c>
      <c r="C53" s="3079" t="s">
        <v>3431</v>
      </c>
      <c r="D53" s="1282">
        <f t="shared" si="10"/>
        <v>1.1999999999999999E-3</v>
      </c>
      <c r="E53" s="818"/>
      <c r="F53" s="2497"/>
      <c r="G53" s="1280">
        <v>1.1999999999999999E-3</v>
      </c>
      <c r="H53" s="1284">
        <f t="shared" si="11"/>
        <v>1.1999999999999999E-3</v>
      </c>
      <c r="I53" s="816">
        <v>0.03</v>
      </c>
      <c r="J53" s="1281">
        <f t="shared" si="12"/>
        <v>2.3999999999999998E-3</v>
      </c>
      <c r="K53" s="1281">
        <f t="shared" si="13"/>
        <v>1.1999999999999999E-3</v>
      </c>
      <c r="L53" s="1281">
        <v>0</v>
      </c>
      <c r="M53" s="1281">
        <f t="shared" si="14"/>
        <v>-1.1999999999999999E-3</v>
      </c>
      <c r="N53" s="1281">
        <f t="shared" si="14"/>
        <v>-2.3999999999999998E-3</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3079" t="s">
        <v>3431</v>
      </c>
      <c r="D54" s="1282">
        <f t="shared" si="10"/>
        <v>2.0999999999999999E-3</v>
      </c>
      <c r="E54" s="818"/>
      <c r="F54" s="2497"/>
      <c r="G54" s="1280">
        <v>2.0999999999999999E-3</v>
      </c>
      <c r="H54" s="1284">
        <f t="shared" si="11"/>
        <v>2.0999999999999999E-3</v>
      </c>
      <c r="I54" s="816">
        <v>0.05</v>
      </c>
      <c r="J54" s="1281">
        <f t="shared" si="12"/>
        <v>4.1999999999999997E-3</v>
      </c>
      <c r="K54" s="1281">
        <f t="shared" si="13"/>
        <v>2.0999999999999999E-3</v>
      </c>
      <c r="L54" s="1281">
        <v>0</v>
      </c>
      <c r="M54" s="1281">
        <f t="shared" si="14"/>
        <v>-2.0999999999999999E-3</v>
      </c>
      <c r="N54" s="1281">
        <f t="shared" si="14"/>
        <v>-4.1999999999999997E-3</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3079" t="s">
        <v>3431</v>
      </c>
      <c r="D55" s="1282">
        <f t="shared" si="10"/>
        <v>4.3E-3</v>
      </c>
      <c r="E55" s="818"/>
      <c r="F55" s="2497"/>
      <c r="G55" s="1280">
        <v>4.3E-3</v>
      </c>
      <c r="H55" s="1284">
        <f t="shared" si="11"/>
        <v>4.3E-3</v>
      </c>
      <c r="I55" s="816">
        <v>0.1</v>
      </c>
      <c r="J55" s="1281">
        <f t="shared" si="12"/>
        <v>8.6E-3</v>
      </c>
      <c r="K55" s="1281">
        <f t="shared" si="13"/>
        <v>4.3E-3</v>
      </c>
      <c r="L55" s="1281">
        <v>0</v>
      </c>
      <c r="M55" s="1281">
        <f t="shared" si="14"/>
        <v>-4.3E-3</v>
      </c>
      <c r="N55" s="1281">
        <f t="shared" si="14"/>
        <v>-8.6E-3</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3079" t="s">
        <v>3430</v>
      </c>
      <c r="D56" s="1282">
        <f t="shared" si="10"/>
        <v>5.0000000000000001E-3</v>
      </c>
      <c r="E56" s="821"/>
      <c r="F56" s="2497"/>
      <c r="G56" s="1280">
        <v>2.5000000000000001E-3</v>
      </c>
      <c r="H56" s="1284">
        <f t="shared" si="11"/>
        <v>2.5000000000000001E-3</v>
      </c>
      <c r="I56" s="820">
        <v>0.06</v>
      </c>
      <c r="J56" s="1281">
        <f t="shared" si="12"/>
        <v>5.0000000000000001E-3</v>
      </c>
      <c r="K56" s="1281">
        <f t="shared" si="13"/>
        <v>2.5000000000000001E-3</v>
      </c>
      <c r="L56" s="1281">
        <v>0</v>
      </c>
      <c r="M56" s="1281">
        <f t="shared" si="14"/>
        <v>-2.5000000000000001E-3</v>
      </c>
      <c r="N56" s="1281">
        <f t="shared" si="14"/>
        <v>-5.0000000000000001E-3</v>
      </c>
      <c r="AA56" s="1367"/>
      <c r="AB56" s="1367"/>
      <c r="AC56" s="1367"/>
      <c r="AD56" s="1367"/>
      <c r="AE56" s="1367"/>
      <c r="AF56" s="1367"/>
      <c r="AG56" s="1367"/>
      <c r="AH56" s="1367"/>
      <c r="AI56" s="1367"/>
      <c r="AJ56" s="1367"/>
      <c r="AK56" s="1367"/>
    </row>
    <row r="57" spans="1:37" s="1366" customFormat="1" ht="15">
      <c r="A57" s="2862" t="s">
        <v>2912</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2982"/>
      <c r="C58" s="2982" t="s">
        <v>2895</v>
      </c>
      <c r="D58" s="2982" t="s">
        <v>2896</v>
      </c>
      <c r="E58" s="815" t="s">
        <v>2897</v>
      </c>
      <c r="F58" s="2867" t="s">
        <v>2913</v>
      </c>
      <c r="G58" s="2982" t="s">
        <v>754</v>
      </c>
      <c r="H58" s="2868" t="s">
        <v>2899</v>
      </c>
      <c r="I58" s="2982"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c r="D59" s="1282">
        <f t="shared" ref="D59:D67" si="15">SUMIF($J$58:$N$58,C59,J59:N59)</f>
        <v>0</v>
      </c>
      <c r="E59" s="817">
        <f>ROUND(SUM(D59:D67),4)</f>
        <v>0</v>
      </c>
      <c r="F59" s="2497"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c r="D60" s="1282">
        <f t="shared" si="15"/>
        <v>0</v>
      </c>
      <c r="E60" s="818"/>
      <c r="F60" s="2497"/>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c r="D61" s="1282">
        <f t="shared" si="15"/>
        <v>0</v>
      </c>
      <c r="E61" s="818"/>
      <c r="F61" s="2497"/>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2904</v>
      </c>
      <c r="B62" s="2871" t="s">
        <v>2905</v>
      </c>
      <c r="C62" s="2766"/>
      <c r="D62" s="1282">
        <f t="shared" si="15"/>
        <v>0</v>
      </c>
      <c r="E62" s="818"/>
      <c r="F62" s="2497"/>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c r="D63" s="1282">
        <f t="shared" si="15"/>
        <v>0</v>
      </c>
      <c r="E63" s="818"/>
      <c r="F63" s="2497"/>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2907</v>
      </c>
      <c r="B64" s="2872" t="s">
        <v>2908</v>
      </c>
      <c r="C64" s="2766"/>
      <c r="D64" s="1282">
        <f t="shared" si="15"/>
        <v>0</v>
      </c>
      <c r="E64" s="818"/>
      <c r="F64" s="2497"/>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c r="D65" s="1282">
        <f t="shared" si="15"/>
        <v>0</v>
      </c>
      <c r="E65" s="818"/>
      <c r="F65" s="2497"/>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c r="D66" s="1282">
        <f t="shared" si="15"/>
        <v>0</v>
      </c>
      <c r="E66" s="818"/>
      <c r="F66" s="2497"/>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c r="D67" s="1282">
        <f t="shared" si="15"/>
        <v>0</v>
      </c>
      <c r="E67" s="821"/>
      <c r="F67" s="2497"/>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2982"/>
      <c r="C69" s="2982" t="s">
        <v>2895</v>
      </c>
      <c r="D69" s="2982" t="s">
        <v>2896</v>
      </c>
      <c r="E69" s="815" t="s">
        <v>2897</v>
      </c>
      <c r="F69" s="2867" t="s">
        <v>2913</v>
      </c>
      <c r="G69" s="2982" t="s">
        <v>754</v>
      </c>
      <c r="H69" s="2868" t="s">
        <v>2899</v>
      </c>
      <c r="I69" s="2982"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3079"/>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2982"/>
      <c r="C80" s="2982" t="s">
        <v>2895</v>
      </c>
      <c r="D80" s="2982" t="s">
        <v>2896</v>
      </c>
      <c r="E80" s="815" t="s">
        <v>2897</v>
      </c>
      <c r="F80" s="2867" t="s">
        <v>2913</v>
      </c>
      <c r="G80" s="2982" t="s">
        <v>754</v>
      </c>
      <c r="H80" s="2868" t="s">
        <v>2899</v>
      </c>
      <c r="I80" s="2982"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47" t="s">
        <v>2923</v>
      </c>
      <c r="B90" s="3347"/>
      <c r="C90" s="3347"/>
      <c r="D90" s="3347"/>
      <c r="E90" s="3347"/>
      <c r="F90" s="3347"/>
      <c r="G90" s="3347"/>
      <c r="H90" s="3347"/>
      <c r="I90" s="3347"/>
      <c r="J90" s="3347"/>
      <c r="K90" s="2987"/>
      <c r="L90" s="2987"/>
      <c r="M90" s="2987"/>
      <c r="N90" s="2987"/>
    </row>
    <row r="91" spans="1:37">
      <c r="A91" s="3349" t="s">
        <v>2924</v>
      </c>
      <c r="B91" s="3349" t="s">
        <v>2925</v>
      </c>
      <c r="C91" s="2834" t="s">
        <v>2926</v>
      </c>
      <c r="D91" s="2835"/>
      <c r="E91" s="2835"/>
      <c r="F91" s="2835"/>
      <c r="G91" s="2835"/>
      <c r="H91" s="2835"/>
      <c r="I91" s="2835"/>
      <c r="J91" s="2881"/>
      <c r="K91" s="2882"/>
      <c r="L91" s="2882"/>
      <c r="M91" s="2882"/>
      <c r="N91" s="2882"/>
    </row>
    <row r="92" spans="1:37">
      <c r="A92" s="3349"/>
      <c r="B92" s="3349"/>
      <c r="C92" s="2989" t="s">
        <v>2792</v>
      </c>
      <c r="D92" s="2989" t="s">
        <v>2793</v>
      </c>
      <c r="E92" s="2989" t="s">
        <v>2794</v>
      </c>
      <c r="F92" s="2989" t="s">
        <v>2795</v>
      </c>
      <c r="G92" s="2989" t="s">
        <v>2796</v>
      </c>
      <c r="H92" s="2989" t="s">
        <v>2797</v>
      </c>
      <c r="I92" s="2989" t="s">
        <v>2798</v>
      </c>
      <c r="J92" s="2989" t="s">
        <v>2799</v>
      </c>
      <c r="K92" s="2989" t="s">
        <v>2800</v>
      </c>
      <c r="L92" s="2989" t="s">
        <v>2801</v>
      </c>
      <c r="M92" s="2989" t="s">
        <v>2802</v>
      </c>
      <c r="N92" s="2989" t="s">
        <v>2803</v>
      </c>
    </row>
    <row r="93" spans="1:37">
      <c r="A93" s="335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5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5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5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5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5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51"/>
      <c r="B99" s="2883" t="s">
        <v>2808</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35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35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5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5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5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5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5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5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51"/>
      <c r="B108" s="3204" t="s">
        <v>2821</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352"/>
      <c r="B109" s="3205"/>
      <c r="C109" s="2886">
        <f>(-0.163*(C108^2)-0.59*C108+7617)*(10^(-4))/C101</f>
        <v>7.7955445240532245E-2</v>
      </c>
      <c r="D109" s="2886">
        <f>(-0.163*(D108^2)-0.59*D108+7617)*(10^(-4))/D101</f>
        <v>7.7955445240532245E-2</v>
      </c>
      <c r="E109" s="2886">
        <f>(-0.161*(E108^2)-7.509*E108+6533)*(10^(-4))/E101</f>
        <v>6.6789457523029686E-2</v>
      </c>
      <c r="F109" s="2886">
        <f>(-0.161*(F108^2)-7.509*F108+6533)*(10^(-4))/F101</f>
        <v>6.6789457523029686E-2</v>
      </c>
      <c r="G109" s="2886">
        <f>(-0.161*(G108^2)-7.509*G108+6533)*(10^(-4))/G101</f>
        <v>6.6789457523029686E-2</v>
      </c>
      <c r="H109" s="2886">
        <f>(-0.161*(H108^2)-7.509*H108+6533)*(10^(-4))/H101</f>
        <v>6.6789457523029686E-2</v>
      </c>
      <c r="I109" s="2886">
        <f>(-0.161*(I108^2)-7.509*I108+6533)*(10^(-4))/I101</f>
        <v>6.6789457523029686E-2</v>
      </c>
      <c r="J109" s="2886">
        <f>(-0.214*(J108^2)-21.991*J108+4665)*(10^(-4))/J101</f>
        <v>4.7520931422722623E-2</v>
      </c>
      <c r="K109" s="2886">
        <f>(-0.214*(K108^2)-21.991*K108+4665)*(10^(-4))/K101</f>
        <v>4.7520931422722623E-2</v>
      </c>
      <c r="L109" s="2886">
        <f>(-0.214*(L108^2)-21.991*L108+4665)*(10^(-4))/L101</f>
        <v>4.7520931422722623E-2</v>
      </c>
      <c r="M109" s="2886">
        <f>(-0.214*(M108^2)-21.991*M108+4665)*(10^(-4))/M101</f>
        <v>4.7520931422722623E-2</v>
      </c>
      <c r="N109" s="2886">
        <f>(-0.214*(N108^2)-21.991*N108+4665)*(10^(-4))/N101</f>
        <v>4.7520931422722623E-2</v>
      </c>
    </row>
    <row r="110" spans="1:14">
      <c r="A110" s="3348" t="s">
        <v>2931</v>
      </c>
      <c r="B110" s="3348"/>
      <c r="C110" s="3348"/>
      <c r="D110" s="3348"/>
      <c r="E110" s="3348"/>
      <c r="F110" s="3348"/>
      <c r="G110" s="3348"/>
      <c r="H110" s="3348"/>
      <c r="I110" s="3348"/>
      <c r="J110" s="3348"/>
      <c r="K110" s="2988"/>
      <c r="L110" s="2988"/>
      <c r="M110" s="2988"/>
      <c r="N110" s="2988"/>
    </row>
    <row r="112" spans="1:14" ht="13.5" thickBot="1"/>
    <row r="113" spans="1:13" ht="25.5" thickBot="1">
      <c r="A113" s="899" t="s">
        <v>2932</v>
      </c>
      <c r="B113" s="1283">
        <f>G3</f>
        <v>9.77</v>
      </c>
      <c r="C113" s="900" t="s">
        <v>2933</v>
      </c>
      <c r="D113" s="901">
        <f>SUMPRODUCT((A115:A118=F113)*(B114:M114=H113)*B115:M118)</f>
        <v>0.72660000000000002</v>
      </c>
      <c r="E113" s="2720" t="s">
        <v>2766</v>
      </c>
      <c r="F113" s="2891" t="str">
        <f>E2</f>
        <v>商业</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I57"/>
  <sheetViews>
    <sheetView topLeftCell="A19"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1"/>
      <c r="C1" s="242"/>
      <c r="D1" s="242"/>
      <c r="E1" s="242"/>
      <c r="F1" s="242"/>
      <c r="G1" s="1375">
        <f>MATCH(B1,'数据-取费表'!A6:A16,0)+5</f>
        <v>12</v>
      </c>
    </row>
    <row r="2" spans="1:9" s="244" customFormat="1" ht="18" customHeight="1">
      <c r="A2" s="245" t="s">
        <v>2280</v>
      </c>
      <c r="B2" s="246">
        <f ca="1">IF(D2="——",C52,C52-E2)</f>
        <v>66557</v>
      </c>
      <c r="C2" s="243" t="s">
        <v>2281</v>
      </c>
      <c r="D2" s="2543" t="s">
        <v>70</v>
      </c>
      <c r="E2" s="1435" t="e">
        <f ca="1">SUMIF(INDIRECT("'"&amp;G2&amp;"'"&amp;"!A:A"),"承租人权益价值",INDIRECT("'"&amp;G2&amp;"'"&amp;"!c:c"))</f>
        <v>#REF!</v>
      </c>
      <c r="F2" s="2544" t="s">
        <v>2281</v>
      </c>
      <c r="G2" s="2545"/>
    </row>
    <row r="3" spans="1:9" s="244" customFormat="1" ht="18" customHeight="1" thickBot="1">
      <c r="A3" s="247" t="s">
        <v>2282</v>
      </c>
      <c r="B3" s="248">
        <f ca="1">ROUND(B2*10000/(IF(B1="",'数据-汇总表'!E3,INDIRECT("'数据-取费表'!k"&amp;$G$1))),0)</f>
        <v>31273</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 ca="1">C6+C7+C8</f>
        <v>43609</v>
      </c>
      <c r="D5" s="255" t="s">
        <v>2287</v>
      </c>
      <c r="E5" s="256" t="s">
        <v>2288</v>
      </c>
      <c r="F5" s="256" t="s">
        <v>2289</v>
      </c>
      <c r="G5" s="257"/>
    </row>
    <row r="6" spans="1:9" s="258" customFormat="1" ht="13.5" customHeight="1">
      <c r="A6" s="945" t="s">
        <v>2290</v>
      </c>
      <c r="B6" s="259" t="s">
        <v>2291</v>
      </c>
      <c r="C6" s="260">
        <f ca="1">'基准地价修正-办公、车库'!B2+'基准地价修正-商业'!V2+'基准地价修正-商业'!V3</f>
        <v>42318</v>
      </c>
      <c r="D6" s="261"/>
      <c r="E6" s="262"/>
      <c r="F6" s="262"/>
      <c r="G6" s="263"/>
    </row>
    <row r="7" spans="1:9" s="258" customFormat="1" ht="13.5" customHeight="1">
      <c r="A7" s="945" t="s">
        <v>2292</v>
      </c>
      <c r="B7" s="259" t="s">
        <v>2293</v>
      </c>
      <c r="C7" s="264">
        <f ca="1">ROUND(C6*F7,0)</f>
        <v>1291</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0</v>
      </c>
      <c r="D8" s="266"/>
      <c r="E8" s="264"/>
      <c r="F8" s="265"/>
      <c r="G8" s="2546" t="s">
        <v>3433</v>
      </c>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190</v>
      </c>
      <c r="F9" s="265"/>
      <c r="G9" s="2547" t="s">
        <v>3434</v>
      </c>
      <c r="H9" s="1386"/>
      <c r="I9" s="2548" t="s">
        <v>2297</v>
      </c>
    </row>
    <row r="10" spans="1:9" s="258" customFormat="1" ht="13.5" customHeight="1">
      <c r="A10" s="946" t="s">
        <v>800</v>
      </c>
      <c r="B10" s="268" t="s">
        <v>2298</v>
      </c>
      <c r="C10" s="269">
        <f ca="1">ROUND(D10*E10/10000,0)</f>
        <v>426</v>
      </c>
      <c r="D10" s="1028">
        <f ca="1">IF(B1="",'数据-汇总表'!E6,IF(INDIRECT("'数据-取费表'!c"&amp;$G$1)="住宅",INDIRECT("'数据-取费表'!s"&amp;$G$1),INDIRECT("'数据-取费表'!k"&amp;$G$1)+INDIRECT("'数据-取费表'!s"&amp;$G$1)))</f>
        <v>21282.42</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t="str">
        <f>IF(G19="已包含在土地取得成本中","0",ROUND(D19*E19/10000,0))</f>
        <v>0</v>
      </c>
      <c r="D19" s="1032">
        <f ca="1">D9+D10</f>
        <v>21282.42</v>
      </c>
      <c r="E19" s="255">
        <f>'数据-取费表'!B31</f>
        <v>200</v>
      </c>
      <c r="F19" s="275"/>
      <c r="G19" s="2546" t="s">
        <v>3435</v>
      </c>
    </row>
    <row r="20" spans="1:7" s="258" customFormat="1" ht="13.5" customHeight="1">
      <c r="A20" s="299" t="s">
        <v>2311</v>
      </c>
      <c r="B20" s="254" t="s">
        <v>2312</v>
      </c>
      <c r="C20" s="276">
        <f ca="1">ROUND((C5+C19)*F20,0)</f>
        <v>872</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4282</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4241</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0</v>
      </c>
      <c r="D24" s="282"/>
      <c r="E24" s="282"/>
      <c r="F24" s="283"/>
      <c r="G24" s="284" t="s">
        <v>2325</v>
      </c>
    </row>
    <row r="25" spans="1:7" s="258" customFormat="1" ht="24">
      <c r="A25" s="947" t="s">
        <v>2326</v>
      </c>
      <c r="B25" s="259" t="s">
        <v>2327</v>
      </c>
      <c r="C25" s="1351">
        <f ca="1">ROUND(IF('数据-取费表'!B22&lt;=1,C20*F22*'数据-取费表'!B23/2,C20*(POWER((1+F22),'数据-取费表'!B23/2)-1)),0)</f>
        <v>41</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7117</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ROUND((C5+C19+C20)*F27*'数据-取费表'!B21/'数据-取费表'!B20,0)</f>
        <v>7117</v>
      </c>
      <c r="D28" s="279"/>
      <c r="E28" s="280"/>
      <c r="F28" s="290"/>
      <c r="G28" s="291"/>
    </row>
    <row r="29" spans="1:7" s="258" customFormat="1" ht="13.5" customHeight="1">
      <c r="A29" s="947" t="s">
        <v>791</v>
      </c>
      <c r="B29" s="292" t="s">
        <v>2335</v>
      </c>
      <c r="C29" s="282">
        <f ca="1">ROUND(C21*F27*'数据-取费表'!B21/'数据-取费表'!B20,4)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60575</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7226</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6385</v>
      </c>
      <c r="D34" s="261"/>
      <c r="E34" s="264"/>
      <c r="F34" s="301">
        <f ca="1">IF('数据-取费表'!B24=0,1,IF(B1="",'数据-取费表'!N16,INDIRECT("'数据-取费表'!n"&amp;$G$1)))</f>
        <v>1</v>
      </c>
      <c r="G34" s="263" t="s">
        <v>2344</v>
      </c>
    </row>
    <row r="35" spans="1:7" ht="13.5" customHeight="1">
      <c r="A35" s="947" t="s">
        <v>795</v>
      </c>
      <c r="B35" s="259" t="s">
        <v>2345</v>
      </c>
      <c r="C35" s="264">
        <f ca="1">ROUND(C34*F35,0)</f>
        <v>319</v>
      </c>
      <c r="D35" s="264"/>
      <c r="E35" s="264"/>
      <c r="F35" s="303">
        <f>'数据-取费表'!B33</f>
        <v>0.05</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426</v>
      </c>
      <c r="D37" s="261">
        <f ca="1">D19</f>
        <v>21282.42</v>
      </c>
      <c r="E37" s="293">
        <f>'数据-取费表'!B35</f>
        <v>200</v>
      </c>
      <c r="F37" s="303"/>
      <c r="G37" s="305" t="s">
        <v>2350</v>
      </c>
    </row>
    <row r="38" spans="1:7" ht="13.5" customHeight="1">
      <c r="A38" s="947" t="s">
        <v>798</v>
      </c>
      <c r="B38" s="259" t="s">
        <v>2351</v>
      </c>
      <c r="C38" s="264">
        <f ca="1">ROUND(C34*F38,0)</f>
        <v>96</v>
      </c>
      <c r="D38" s="264"/>
      <c r="E38" s="264"/>
      <c r="F38" s="303">
        <f>'数据-取费表'!B36</f>
        <v>1.4999999999999999E-2</v>
      </c>
      <c r="G38" s="263" t="s">
        <v>2346</v>
      </c>
    </row>
    <row r="39" spans="1:7" s="258" customFormat="1" ht="13.5" customHeight="1">
      <c r="A39" s="299" t="s">
        <v>2352</v>
      </c>
      <c r="B39" s="254" t="s">
        <v>2353</v>
      </c>
      <c r="C39" s="276">
        <f ca="1">ROUND(C33*F20,0)</f>
        <v>145</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343</v>
      </c>
      <c r="D42" s="282"/>
      <c r="E42" s="282"/>
      <c r="F42" s="283"/>
      <c r="G42" s="3270" t="s">
        <v>2362</v>
      </c>
    </row>
    <row r="43" spans="1:7" ht="13.5" customHeight="1">
      <c r="A43" s="947" t="s">
        <v>791</v>
      </c>
      <c r="B43" s="259" t="s">
        <v>2363</v>
      </c>
      <c r="C43" s="282">
        <f ca="1">ROUND(IF('数据-取费表'!B22&lt;=1,C39*F22*'数据-取费表'!B21/2,C39*(POWER((1+F22),'数据-取费表'!B21/2)-1)),0)</f>
        <v>7</v>
      </c>
      <c r="D43" s="282"/>
      <c r="E43" s="282"/>
      <c r="F43" s="283"/>
      <c r="G43" s="3271"/>
    </row>
    <row r="44" spans="1:7" ht="13.5" customHeight="1">
      <c r="A44" s="947" t="s">
        <v>792</v>
      </c>
      <c r="B44" s="259" t="s">
        <v>2364</v>
      </c>
      <c r="C44" s="282">
        <f ca="1">ROUND(IF('数据-取费表'!B22&lt;=1,C40*F22*'数据-取费表'!B21/2,C40*(POWER((1+F22),'数据-取费表'!B21/2)-1)),4)</f>
        <v>1E-3</v>
      </c>
      <c r="D44" s="282"/>
      <c r="E44" s="282"/>
      <c r="F44" s="283"/>
      <c r="G44" s="3272"/>
    </row>
    <row r="45" spans="1:7" s="258" customFormat="1" ht="13.5" customHeight="1">
      <c r="A45" s="299" t="s">
        <v>2365</v>
      </c>
      <c r="B45" s="288" t="s">
        <v>2331</v>
      </c>
      <c r="C45" s="289">
        <f ca="1">C46</f>
        <v>1179</v>
      </c>
      <c r="D45" s="279">
        <f ca="1">C47</f>
        <v>3.2000000000000002E-3</v>
      </c>
      <c r="E45" s="280" t="s">
        <v>2357</v>
      </c>
      <c r="F45" s="290"/>
      <c r="G45" s="291" t="s">
        <v>2366</v>
      </c>
    </row>
    <row r="46" spans="1:7" s="258" customFormat="1" ht="13.5" customHeight="1">
      <c r="A46" s="947" t="s">
        <v>790</v>
      </c>
      <c r="B46" s="292" t="s">
        <v>2367</v>
      </c>
      <c r="C46" s="293">
        <f ca="1">ROUND((C33+C39)*F27,0)</f>
        <v>1179</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1723">
        <f>ROUND(F30/(1+'数据-取费表'!C42),4)</f>
        <v>5.33E-2</v>
      </c>
      <c r="D48" s="280" t="s">
        <v>2357</v>
      </c>
      <c r="E48" s="276"/>
      <c r="F48" s="281"/>
      <c r="G48" s="278" t="s">
        <v>2370</v>
      </c>
    </row>
    <row r="49" spans="1:7" ht="16.5" customHeight="1">
      <c r="A49" s="299" t="s">
        <v>2336</v>
      </c>
      <c r="B49" s="254" t="s">
        <v>2371</v>
      </c>
      <c r="C49" s="276">
        <f ca="1">ROUND((C33+C39+C41+C45)/(1-C40-D41-D45-C48),0)</f>
        <v>9648</v>
      </c>
      <c r="D49" s="276"/>
      <c r="E49" s="276"/>
      <c r="F49" s="308"/>
      <c r="G49" s="278" t="s">
        <v>2372</v>
      </c>
    </row>
    <row r="50" spans="1:7" s="302" customFormat="1" ht="24">
      <c r="A50" s="299" t="s">
        <v>2373</v>
      </c>
      <c r="B50" s="254" t="s">
        <v>2374</v>
      </c>
      <c r="C50" s="276"/>
      <c r="D50" s="276"/>
      <c r="E50" s="276"/>
      <c r="F50" s="308">
        <f>IF('数据-取费表'!B24=0,'数据-取费表'!N16,1)</f>
        <v>0.62</v>
      </c>
      <c r="G50" s="291" t="s">
        <v>2375</v>
      </c>
    </row>
    <row r="51" spans="1:7" ht="16.5" customHeight="1">
      <c r="A51" s="299" t="s">
        <v>2376</v>
      </c>
      <c r="B51" s="254" t="s">
        <v>2377</v>
      </c>
      <c r="C51" s="276">
        <f ca="1">ROUND(C49*F50,0)</f>
        <v>5982</v>
      </c>
      <c r="D51" s="276"/>
      <c r="E51" s="276"/>
      <c r="F51" s="308"/>
      <c r="G51" s="278" t="s">
        <v>2378</v>
      </c>
    </row>
    <row r="52" spans="1:7" s="252" customFormat="1" ht="16.5" thickBot="1">
      <c r="A52" s="309" t="s">
        <v>2379</v>
      </c>
      <c r="B52" s="310"/>
      <c r="C52" s="311">
        <f ca="1">C31+C51</f>
        <v>66557</v>
      </c>
      <c r="D52" s="310"/>
      <c r="E52" s="310"/>
      <c r="F52" s="310"/>
      <c r="G52" s="312"/>
    </row>
    <row r="55" spans="1:7" ht="15">
      <c r="B55" s="314" t="s">
        <v>2380</v>
      </c>
      <c r="C55" s="315"/>
    </row>
    <row r="56" spans="1:7">
      <c r="B56" s="317" t="s">
        <v>1504</v>
      </c>
      <c r="C56" s="319">
        <f ca="1">1-C57</f>
        <v>0.91</v>
      </c>
    </row>
    <row r="57" spans="1:7">
      <c r="B57" s="317" t="s">
        <v>1505</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3"/>
  <sheetViews>
    <sheetView workbookViewId="0">
      <selection activeCell="J27" sqref="J27"/>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2479</v>
      </c>
      <c r="B1" s="2558"/>
      <c r="C1" s="2558"/>
      <c r="D1" s="2558"/>
      <c r="E1" s="2559"/>
    </row>
    <row r="2" spans="1:6" ht="15.75">
      <c r="A2" s="2560" t="s">
        <v>2280</v>
      </c>
      <c r="B2" s="2561">
        <f ca="1">SUMIF(B6:B13,"&lt;&gt;#ref!",B6:B13)</f>
        <v>12705</v>
      </c>
      <c r="C2" s="2562" t="s">
        <v>2472</v>
      </c>
      <c r="D2" s="2563" t="s">
        <v>2473</v>
      </c>
      <c r="E2" s="2564">
        <f>SUM(E6:E13)</f>
        <v>4668.5300000000007</v>
      </c>
    </row>
    <row r="3" spans="1:6" ht="15.75">
      <c r="A3" s="2560" t="s">
        <v>1386</v>
      </c>
      <c r="B3" s="2561">
        <f ca="1">ROUND(B2*10000/E2,0)</f>
        <v>27214</v>
      </c>
      <c r="C3" s="2562" t="s">
        <v>2480</v>
      </c>
      <c r="D3" s="2565"/>
      <c r="E3" s="2566"/>
    </row>
    <row r="4" spans="1:6" ht="15.75">
      <c r="A4" s="2567"/>
      <c r="B4" s="2565"/>
      <c r="C4" s="2565"/>
      <c r="D4" s="2565"/>
      <c r="E4" s="2566"/>
    </row>
    <row r="5" spans="1:6" ht="15">
      <c r="A5" s="2568" t="s">
        <v>2474</v>
      </c>
      <c r="B5" s="3368" t="s">
        <v>2475</v>
      </c>
      <c r="C5" s="3368"/>
      <c r="D5" s="2569"/>
      <c r="E5" s="2570" t="s">
        <v>2476</v>
      </c>
      <c r="F5" s="2571" t="s">
        <v>2477</v>
      </c>
    </row>
    <row r="6" spans="1:6">
      <c r="A6" s="2572">
        <f>'数据-取费表'!AN6</f>
        <v>0</v>
      </c>
      <c r="B6" s="2571" t="e">
        <f ca="1">IF(F6="是",'数据-取费表'!AO6,0)</f>
        <v>#REF!</v>
      </c>
      <c r="C6" s="2562" t="s">
        <v>2472</v>
      </c>
      <c r="D6" s="2565"/>
      <c r="E6" s="2573">
        <f>IF(OR(A6=0,F6="否"),0,'数据-取费表'!K6+'数据-取费表'!S6)</f>
        <v>0</v>
      </c>
      <c r="F6" s="2574" t="s">
        <v>2478</v>
      </c>
    </row>
    <row r="7" spans="1:6">
      <c r="A7" s="2572" t="str">
        <f>'数据-取费表'!AN7</f>
        <v>收益法-商业</v>
      </c>
      <c r="B7" s="2571">
        <f ca="1">IF(F7="是",'数据-取费表'!AO7,0)</f>
        <v>6404</v>
      </c>
      <c r="C7" s="2562" t="s">
        <v>2472</v>
      </c>
      <c r="D7" s="2565"/>
      <c r="E7" s="2573">
        <f>IF(OR(A7=0,F7="否"),0,'数据-取费表'!K7+'数据-取费表'!S7)</f>
        <v>2404.44</v>
      </c>
      <c r="F7" s="2574" t="s">
        <v>2478</v>
      </c>
    </row>
    <row r="8" spans="1:6">
      <c r="A8" s="2572">
        <f>'数据-取费表'!AN8</f>
        <v>0</v>
      </c>
      <c r="B8" s="2571" t="e">
        <f ca="1">IF(F8="是",'数据-取费表'!AO8,0)</f>
        <v>#REF!</v>
      </c>
      <c r="C8" s="2562" t="s">
        <v>2472</v>
      </c>
      <c r="D8" s="2565"/>
      <c r="E8" s="2573">
        <f>IF(OR(A8=0,F8="否"),0,'数据-取费表'!K8+'数据-取费表'!S8)</f>
        <v>0</v>
      </c>
      <c r="F8" s="2574" t="s">
        <v>2478</v>
      </c>
    </row>
    <row r="9" spans="1:6">
      <c r="A9" s="2572" t="str">
        <f>'数据-取费表'!AN9</f>
        <v>收益法-车位</v>
      </c>
      <c r="B9" s="2571">
        <f ca="1">IF(F9="是",'数据-取费表'!AO9,0)</f>
        <v>124</v>
      </c>
      <c r="C9" s="2562" t="s">
        <v>2472</v>
      </c>
      <c r="D9" s="2565"/>
      <c r="E9" s="2573">
        <f>IF(OR(A9=0,F9="否"),0,'数据-取费表'!K9+'数据-取费表'!S9)</f>
        <v>165.07999999999998</v>
      </c>
      <c r="F9" s="2574" t="s">
        <v>2478</v>
      </c>
    </row>
    <row r="10" spans="1:6">
      <c r="A10" s="2572">
        <f>'数据-取费表'!AN10</f>
        <v>0</v>
      </c>
      <c r="B10" s="2571" t="e">
        <f ca="1">IF(F10="是",'数据-取费表'!AO10,0)</f>
        <v>#REF!</v>
      </c>
      <c r="C10" s="2562" t="s">
        <v>2472</v>
      </c>
      <c r="D10" s="2565"/>
      <c r="E10" s="2573">
        <f>IF(OR(A10=0,F10="否"),0,'数据-取费表'!K10+'数据-取费表'!S10)</f>
        <v>0</v>
      </c>
      <c r="F10" s="2574" t="s">
        <v>2478</v>
      </c>
    </row>
    <row r="11" spans="1:6">
      <c r="A11" s="2572" t="str">
        <f>'数据-取费表'!AN11</f>
        <v>收益法-办公</v>
      </c>
      <c r="B11" s="2571">
        <f ca="1">IF(F11="是",'数据-取费表'!AO11,0)</f>
        <v>6177</v>
      </c>
      <c r="C11" s="2562" t="s">
        <v>2472</v>
      </c>
      <c r="D11" s="2565"/>
      <c r="E11" s="2573">
        <f>IF(OR(A11=0,F11="否"),0,'数据-取费表'!K11+'数据-取费表'!S11)</f>
        <v>2099.0100000000002</v>
      </c>
      <c r="F11" s="2574" t="s">
        <v>2478</v>
      </c>
    </row>
    <row r="12" spans="1:6">
      <c r="A12" s="2572">
        <f>'数据-取费表'!AN12</f>
        <v>0</v>
      </c>
      <c r="B12" s="2571" t="e">
        <f ca="1">IF(F12="是",'数据-取费表'!AO12,0)</f>
        <v>#REF!</v>
      </c>
      <c r="C12" s="2562" t="s">
        <v>2472</v>
      </c>
      <c r="D12" s="2565"/>
      <c r="E12" s="2573">
        <f>IF(OR(A12=0,F12="否"),0,'数据-取费表'!K12+'数据-取费表'!S12)</f>
        <v>0</v>
      </c>
      <c r="F12" s="2574" t="s">
        <v>2478</v>
      </c>
    </row>
    <row r="13" spans="1:6" ht="15" thickBot="1">
      <c r="A13" s="2575">
        <f>'数据-取费表'!AN13</f>
        <v>0</v>
      </c>
      <c r="B13" s="2571" t="e">
        <f ca="1">IF(F13="是",'数据-取费表'!AO13,0)</f>
        <v>#REF!</v>
      </c>
      <c r="C13" s="2576" t="s">
        <v>2472</v>
      </c>
      <c r="D13" s="2577"/>
      <c r="E13" s="2573">
        <f>IF(OR(A13=0,F13="否"),0,'数据-取费表'!K13+'数据-取费表'!S13)</f>
        <v>0</v>
      </c>
      <c r="F13" s="2574"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M17" sqref="M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2639</v>
      </c>
      <c r="C1" s="1615" t="s">
        <v>2483</v>
      </c>
      <c r="D1" s="1616" t="s">
        <v>3404</v>
      </c>
      <c r="E1" s="1625"/>
      <c r="F1" s="2580" t="s">
        <v>3073</v>
      </c>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f>IF(C2="——",ROUND(C50*D3/10000,0),ROUND(C50*D3/10000,0)-D2)</f>
        <v>7089</v>
      </c>
      <c r="C2" s="2582" t="s">
        <v>70</v>
      </c>
      <c r="D2" s="1361"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f>IF(C2="——",C50,ROUND(B2*10000/D3,0))</f>
        <v>33774</v>
      </c>
      <c r="C3" s="400" t="s">
        <v>2597</v>
      </c>
      <c r="D3" s="399">
        <f>IF(D1="",'数据-汇总表'!E3,SUMIF('数据-汇总表'!$C19:$C33,D1,'数据-汇总表'!$E19:$E33))</f>
        <v>2099.0100000000002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77" t="s">
        <v>2604</v>
      </c>
      <c r="Q4" s="3378"/>
      <c r="R4" s="3370" t="s">
        <v>2600</v>
      </c>
      <c r="S4" s="3371"/>
      <c r="T4" s="3370" t="s">
        <v>2601</v>
      </c>
      <c r="U4" s="3371"/>
      <c r="V4" s="3381" t="s">
        <v>2602</v>
      </c>
      <c r="W4" s="3381"/>
      <c r="X4" s="2666"/>
      <c r="Y4" s="3370" t="s">
        <v>2604</v>
      </c>
      <c r="Z4" s="3371"/>
      <c r="AA4" s="3369" t="s">
        <v>2600</v>
      </c>
      <c r="AB4" s="3369" t="s">
        <v>2601</v>
      </c>
      <c r="AC4" s="3374" t="s">
        <v>2602</v>
      </c>
    </row>
    <row r="5" spans="1:29" ht="15">
      <c r="A5" s="404"/>
      <c r="B5" s="405"/>
      <c r="C5" s="3310" t="s">
        <v>2495</v>
      </c>
      <c r="D5" s="3311"/>
      <c r="E5" s="3372" t="s">
        <v>3375</v>
      </c>
      <c r="F5" s="3309"/>
      <c r="G5" s="3373" t="s">
        <v>3376</v>
      </c>
      <c r="H5" s="3311"/>
      <c r="I5" s="3373" t="s">
        <v>3377</v>
      </c>
      <c r="J5" s="3311"/>
      <c r="K5" s="610"/>
      <c r="L5" s="1126"/>
      <c r="M5" s="1127"/>
      <c r="N5" s="1127"/>
      <c r="O5" s="1127"/>
      <c r="P5" s="3379"/>
      <c r="Q5" s="3324"/>
      <c r="R5" s="3306"/>
      <c r="S5" s="3307"/>
      <c r="T5" s="3306"/>
      <c r="U5" s="3307"/>
      <c r="V5" s="3329"/>
      <c r="W5" s="3329"/>
      <c r="X5" s="1808"/>
      <c r="Y5" s="3306"/>
      <c r="Z5" s="3307"/>
      <c r="AA5" s="3300"/>
      <c r="AB5" s="3300"/>
      <c r="AC5" s="3375"/>
    </row>
    <row r="6" spans="1:29" ht="15.75" thickBot="1">
      <c r="A6" s="406"/>
      <c r="B6" s="407"/>
      <c r="C6" s="3312" t="s">
        <v>2499</v>
      </c>
      <c r="D6" s="3313"/>
      <c r="E6" s="3314" t="s">
        <v>2499</v>
      </c>
      <c r="F6" s="3315"/>
      <c r="G6" s="3312" t="s">
        <v>2499</v>
      </c>
      <c r="H6" s="3313"/>
      <c r="I6" s="3312" t="s">
        <v>2499</v>
      </c>
      <c r="J6" s="3313"/>
      <c r="K6" s="610" t="s">
        <v>2500</v>
      </c>
      <c r="L6" s="1126"/>
      <c r="M6" s="1127"/>
      <c r="N6" s="1127"/>
      <c r="O6" s="1127"/>
      <c r="P6" s="3380"/>
      <c r="Q6" s="3326"/>
      <c r="R6" s="3306"/>
      <c r="S6" s="3307"/>
      <c r="T6" s="3327"/>
      <c r="U6" s="3328"/>
      <c r="V6" s="3329"/>
      <c r="W6" s="3329"/>
      <c r="X6" s="1808"/>
      <c r="Y6" s="3327"/>
      <c r="Z6" s="3328"/>
      <c r="AA6" s="3301"/>
      <c r="AB6" s="3301"/>
      <c r="AC6" s="3376"/>
    </row>
    <row r="7" spans="1:29" s="117" customFormat="1" ht="15.75" thickBot="1">
      <c r="A7" s="408" t="s">
        <v>2501</v>
      </c>
      <c r="B7" s="409"/>
      <c r="C7" s="410">
        <f>'数据-取费表'!B2</f>
        <v>43795</v>
      </c>
      <c r="D7" s="411">
        <v>100</v>
      </c>
      <c r="E7" s="412">
        <f>C7</f>
        <v>43795</v>
      </c>
      <c r="F7" s="413">
        <f>SUMIF(59:59,YEAR(E7)&amp;"-"&amp;MONTH(E7),60:60)</f>
        <v>100</v>
      </c>
      <c r="G7" s="412">
        <f>C7</f>
        <v>43795</v>
      </c>
      <c r="H7" s="411">
        <f>SUMIF(59:59,YEAR(G7)&amp;"-"&amp;MONTH(G7),60:60)</f>
        <v>100</v>
      </c>
      <c r="I7" s="412">
        <f>C7</f>
        <v>43795</v>
      </c>
      <c r="J7" s="411">
        <f>SUMIF(59:59,YEAR(I7)&amp;"-"&amp;MONTH(I7),60:60)</f>
        <v>100</v>
      </c>
      <c r="K7" s="611"/>
      <c r="L7" s="1128"/>
      <c r="M7" s="1129"/>
      <c r="N7" s="1129"/>
      <c r="O7" s="1129"/>
      <c r="P7" s="3382" t="s">
        <v>2502</v>
      </c>
      <c r="Q7" s="3330"/>
      <c r="R7" s="770" t="s">
        <v>17</v>
      </c>
      <c r="S7" s="771">
        <f t="shared" ref="S7:S15" si="0">F7</f>
        <v>100</v>
      </c>
      <c r="T7" s="770" t="s">
        <v>17</v>
      </c>
      <c r="U7" s="771">
        <f t="shared" ref="U7:U15" si="1">H7</f>
        <v>100</v>
      </c>
      <c r="V7" s="770" t="s">
        <v>17</v>
      </c>
      <c r="W7" s="771">
        <f t="shared" ref="W7:W15" si="2">J7</f>
        <v>100</v>
      </c>
      <c r="X7" s="772"/>
      <c r="Y7" s="3302" t="s">
        <v>2502</v>
      </c>
      <c r="Z7" s="3303"/>
      <c r="AA7" s="773">
        <f>D7/F7</f>
        <v>1</v>
      </c>
      <c r="AB7" s="773">
        <f>D7/H7</f>
        <v>1</v>
      </c>
      <c r="AC7" s="2667">
        <f>D7/J7</f>
        <v>1</v>
      </c>
    </row>
    <row r="8" spans="1:29" s="117" customFormat="1" ht="15.75" thickBot="1">
      <c r="A8" s="408" t="s">
        <v>2503</v>
      </c>
      <c r="B8" s="409"/>
      <c r="C8" s="414" t="s">
        <v>2605</v>
      </c>
      <c r="D8" s="411">
        <v>100</v>
      </c>
      <c r="E8" s="414" t="s">
        <v>3069</v>
      </c>
      <c r="F8" s="413">
        <f>SUMIF(62:62,E8,63:63)-SUMIF(62:62,C8,63:63)+100</f>
        <v>100</v>
      </c>
      <c r="G8" s="414" t="s">
        <v>3069</v>
      </c>
      <c r="H8" s="411">
        <f>SUMIF(62:62,G8,63:63)-SUMIF(62:62,C8,63:63)+100</f>
        <v>100</v>
      </c>
      <c r="I8" s="414" t="s">
        <v>3069</v>
      </c>
      <c r="J8" s="411">
        <f>SUMIF(62:62,I8,63:63)-SUMIF(62:62,C8,63:63)+100</f>
        <v>100</v>
      </c>
      <c r="K8" s="611"/>
      <c r="L8" s="1128"/>
      <c r="M8" s="1129"/>
      <c r="N8" s="1129"/>
      <c r="O8" s="1129"/>
      <c r="P8" s="3382" t="s">
        <v>2505</v>
      </c>
      <c r="Q8" s="3303"/>
      <c r="R8" s="770" t="s">
        <v>17</v>
      </c>
      <c r="S8" s="771">
        <f t="shared" si="0"/>
        <v>100</v>
      </c>
      <c r="T8" s="770" t="s">
        <v>17</v>
      </c>
      <c r="U8" s="771">
        <f t="shared" si="1"/>
        <v>100</v>
      </c>
      <c r="V8" s="770" t="s">
        <v>17</v>
      </c>
      <c r="W8" s="771">
        <f t="shared" si="2"/>
        <v>100</v>
      </c>
      <c r="X8" s="772"/>
      <c r="Y8" s="3302" t="s">
        <v>2505</v>
      </c>
      <c r="Z8" s="3303"/>
      <c r="AA8" s="773">
        <f t="shared" ref="AA8:AA47" si="3">D8/F8</f>
        <v>1</v>
      </c>
      <c r="AB8" s="773">
        <f t="shared" ref="AB8:AB47" si="4">D8/H8</f>
        <v>1</v>
      </c>
      <c r="AC8" s="2667">
        <f t="shared" ref="AC8:AC47" si="5">D8/J8</f>
        <v>1</v>
      </c>
    </row>
    <row r="9" spans="1:29" s="117" customFormat="1">
      <c r="A9" s="415" t="s">
        <v>2506</v>
      </c>
      <c r="B9" s="71" t="s">
        <v>2507</v>
      </c>
      <c r="C9" s="2972" t="s">
        <v>3067</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316"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2667">
        <f t="shared" si="5"/>
        <v>1</v>
      </c>
    </row>
    <row r="10" spans="1:29" s="427" customFormat="1" ht="27">
      <c r="A10" s="421"/>
      <c r="B10" s="422" t="s">
        <v>2510</v>
      </c>
      <c r="C10" s="423" t="s">
        <v>3068</v>
      </c>
      <c r="D10" s="136">
        <v>100</v>
      </c>
      <c r="E10" s="423" t="s">
        <v>3068</v>
      </c>
      <c r="F10" s="136">
        <f>SUMIF(66:66,E10,67:67)-SUMIF(66:66,C10,67:67)+100</f>
        <v>100</v>
      </c>
      <c r="G10" s="423" t="s">
        <v>3068</v>
      </c>
      <c r="H10" s="136">
        <f>SUMIF(66:66,G10,67:67)-SUMIF(66:66,C10,67:67)+100</f>
        <v>100</v>
      </c>
      <c r="I10" s="423" t="s">
        <v>3068</v>
      </c>
      <c r="J10" s="136">
        <f>SUMIF(66:66,I10,67:67)-SUMIF(66:66,C10,67:67)+100</f>
        <v>100</v>
      </c>
      <c r="K10" s="612">
        <v>1</v>
      </c>
      <c r="L10" s="1131"/>
      <c r="M10" s="1132"/>
      <c r="N10" s="1132"/>
      <c r="O10" s="1132"/>
      <c r="P10" s="3316"/>
      <c r="Q10" s="1790" t="str">
        <f t="shared" si="6"/>
        <v>土地使用年限（年）</v>
      </c>
      <c r="R10" s="770" t="s">
        <v>17</v>
      </c>
      <c r="S10" s="771">
        <f t="shared" si="0"/>
        <v>100</v>
      </c>
      <c r="T10" s="770" t="s">
        <v>17</v>
      </c>
      <c r="U10" s="771">
        <f t="shared" si="1"/>
        <v>100</v>
      </c>
      <c r="V10" s="770" t="s">
        <v>17</v>
      </c>
      <c r="W10" s="771">
        <f t="shared" si="2"/>
        <v>100</v>
      </c>
      <c r="X10" s="772"/>
      <c r="Y10" s="3146"/>
      <c r="Z10" s="55" t="str">
        <f t="shared" si="7"/>
        <v>土地使用年限（年）</v>
      </c>
      <c r="AA10" s="773">
        <f t="shared" si="3"/>
        <v>1</v>
      </c>
      <c r="AB10" s="773">
        <f t="shared" si="4"/>
        <v>1</v>
      </c>
      <c r="AC10" s="2667">
        <f t="shared" si="5"/>
        <v>1</v>
      </c>
    </row>
    <row r="11" spans="1:29" ht="15">
      <c r="A11" s="428"/>
      <c r="B11" s="422" t="s">
        <v>2511</v>
      </c>
      <c r="C11" s="429" t="s">
        <v>3049</v>
      </c>
      <c r="D11" s="136">
        <v>100</v>
      </c>
      <c r="E11" s="429" t="s">
        <v>3049</v>
      </c>
      <c r="F11" s="136">
        <f>LOOKUP(E11,69:69,70:70)-LOOKUP(C11,69:69,70:70)+100</f>
        <v>100</v>
      </c>
      <c r="G11" s="430" t="s">
        <v>3049</v>
      </c>
      <c r="H11" s="136">
        <f>LOOKUP(G11,69:69,70:70)-LOOKUP(C11,69:69,70:70)+100</f>
        <v>100</v>
      </c>
      <c r="I11" s="429" t="s">
        <v>3050</v>
      </c>
      <c r="J11" s="136">
        <f>LOOKUP(I11,69:69,70:70)-LOOKUP(C11,69:69,70:70)+100</f>
        <v>100</v>
      </c>
      <c r="K11" s="612">
        <v>1</v>
      </c>
      <c r="L11" s="1134"/>
      <c r="M11" s="1127"/>
      <c r="N11" s="1127"/>
      <c r="O11" s="1127"/>
      <c r="P11" s="3316"/>
      <c r="Q11" s="1790" t="str">
        <f t="shared" si="6"/>
        <v>容积率</v>
      </c>
      <c r="R11" s="770" t="s">
        <v>17</v>
      </c>
      <c r="S11" s="771">
        <f t="shared" si="0"/>
        <v>100</v>
      </c>
      <c r="T11" s="770" t="s">
        <v>17</v>
      </c>
      <c r="U11" s="771">
        <f t="shared" si="1"/>
        <v>100</v>
      </c>
      <c r="V11" s="770" t="s">
        <v>17</v>
      </c>
      <c r="W11" s="771">
        <f t="shared" si="2"/>
        <v>100</v>
      </c>
      <c r="X11" s="772"/>
      <c r="Y11" s="3146"/>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316"/>
      <c r="Q12" s="1790">
        <f t="shared" si="6"/>
        <v>0</v>
      </c>
      <c r="R12" s="770" t="s">
        <v>17</v>
      </c>
      <c r="S12" s="771">
        <f t="shared" si="0"/>
        <v>100</v>
      </c>
      <c r="T12" s="770" t="s">
        <v>17</v>
      </c>
      <c r="U12" s="771">
        <f t="shared" si="1"/>
        <v>100</v>
      </c>
      <c r="V12" s="770" t="s">
        <v>17</v>
      </c>
      <c r="W12" s="771">
        <f t="shared" si="2"/>
        <v>100</v>
      </c>
      <c r="X12" s="772"/>
      <c r="Y12" s="3146"/>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316"/>
      <c r="Q13" s="1790">
        <f t="shared" si="6"/>
        <v>0</v>
      </c>
      <c r="R13" s="770" t="s">
        <v>17</v>
      </c>
      <c r="S13" s="771">
        <f t="shared" si="0"/>
        <v>100</v>
      </c>
      <c r="T13" s="770" t="s">
        <v>17</v>
      </c>
      <c r="U13" s="771">
        <f t="shared" si="1"/>
        <v>100</v>
      </c>
      <c r="V13" s="770" t="s">
        <v>17</v>
      </c>
      <c r="W13" s="771">
        <f t="shared" si="2"/>
        <v>100</v>
      </c>
      <c r="X13" s="772"/>
      <c r="Y13" s="3146"/>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316"/>
      <c r="Q14" s="1790">
        <f t="shared" si="6"/>
        <v>0</v>
      </c>
      <c r="R14" s="770" t="s">
        <v>17</v>
      </c>
      <c r="S14" s="771">
        <f t="shared" si="0"/>
        <v>100</v>
      </c>
      <c r="T14" s="770" t="s">
        <v>17</v>
      </c>
      <c r="U14" s="771">
        <f t="shared" si="1"/>
        <v>100</v>
      </c>
      <c r="V14" s="770" t="s">
        <v>17</v>
      </c>
      <c r="W14" s="771">
        <f t="shared" si="2"/>
        <v>100</v>
      </c>
      <c r="X14" s="772"/>
      <c r="Y14" s="3146"/>
      <c r="Z14" s="55">
        <f t="shared" si="7"/>
        <v>0</v>
      </c>
      <c r="AA14" s="773">
        <f t="shared" si="3"/>
        <v>1</v>
      </c>
      <c r="AB14" s="773">
        <f t="shared" si="4"/>
        <v>1</v>
      </c>
      <c r="AC14" s="2667">
        <f t="shared" si="5"/>
        <v>1</v>
      </c>
    </row>
    <row r="15" spans="1:29" ht="71.25">
      <c r="A15" s="440" t="s">
        <v>2512</v>
      </c>
      <c r="B15" s="629" t="s">
        <v>2640</v>
      </c>
      <c r="C15" s="2669" t="str">
        <f>估价对象房地状况!C5</f>
        <v>估价对象位于亮马桥路南侧，周边办公楼项目较多，入驻率较高，办公集聚程度较好</v>
      </c>
      <c r="D15" s="441">
        <v>100</v>
      </c>
      <c r="E15" s="3070" t="s">
        <v>3378</v>
      </c>
      <c r="F15" s="441">
        <f>SUMIF(77:77,E16,78:78)-SUMIF(77:77,C16,78:78)+100</f>
        <v>100</v>
      </c>
      <c r="G15" s="3070" t="s">
        <v>3378</v>
      </c>
      <c r="H15" s="441">
        <f>SUMIF(77:77,G16,78:78)-SUMIF(77:77,C16,78:78)+100</f>
        <v>100</v>
      </c>
      <c r="I15" s="3070" t="s">
        <v>3378</v>
      </c>
      <c r="J15" s="441">
        <f>SUMIF(77:77,I16,78:78)-SUMIF(77:77,C16,78:78)+100</f>
        <v>100</v>
      </c>
      <c r="K15" s="614">
        <v>2</v>
      </c>
      <c r="L15" s="1136"/>
      <c r="M15" s="1127"/>
      <c r="N15" s="1127"/>
      <c r="O15" s="1127"/>
      <c r="P15" s="3343" t="s">
        <v>2513</v>
      </c>
      <c r="Q15" s="1805" t="str">
        <f t="shared" si="6"/>
        <v>办公集聚程度</v>
      </c>
      <c r="R15" s="774" t="s">
        <v>17</v>
      </c>
      <c r="S15" s="775">
        <f t="shared" si="0"/>
        <v>100</v>
      </c>
      <c r="T15" s="774" t="s">
        <v>17</v>
      </c>
      <c r="U15" s="775">
        <f t="shared" si="1"/>
        <v>100</v>
      </c>
      <c r="V15" s="774" t="s">
        <v>17</v>
      </c>
      <c r="W15" s="775">
        <f t="shared" si="2"/>
        <v>100</v>
      </c>
      <c r="X15" s="1808"/>
      <c r="Y15" s="3336" t="s">
        <v>2513</v>
      </c>
      <c r="Z15" s="1809" t="str">
        <f t="shared" si="7"/>
        <v>办公集聚程度</v>
      </c>
      <c r="AA15" s="1806">
        <f t="shared" si="3"/>
        <v>1</v>
      </c>
      <c r="AB15" s="1806">
        <f t="shared" si="4"/>
        <v>1</v>
      </c>
      <c r="AC15" s="2670">
        <f t="shared" si="5"/>
        <v>1</v>
      </c>
    </row>
    <row r="16" spans="1:29" ht="15">
      <c r="A16" s="428"/>
      <c r="B16" s="630"/>
      <c r="C16" s="2607" t="s">
        <v>3065</v>
      </c>
      <c r="D16" s="448"/>
      <c r="E16" s="447" t="s">
        <v>3065</v>
      </c>
      <c r="F16" s="448"/>
      <c r="G16" s="447" t="s">
        <v>3065</v>
      </c>
      <c r="H16" s="450"/>
      <c r="I16" s="447" t="s">
        <v>3065</v>
      </c>
      <c r="J16" s="448"/>
      <c r="K16" s="615"/>
      <c r="L16" s="1136"/>
      <c r="M16" s="1127"/>
      <c r="N16" s="1127"/>
      <c r="O16" s="1127"/>
      <c r="P16" s="3344"/>
      <c r="Q16" s="1805"/>
      <c r="R16" s="774"/>
      <c r="S16" s="775"/>
      <c r="T16" s="774"/>
      <c r="U16" s="775"/>
      <c r="V16" s="774"/>
      <c r="W16" s="775"/>
      <c r="X16" s="1808"/>
      <c r="Y16" s="3337"/>
      <c r="Z16" s="1809"/>
      <c r="AA16" s="1806">
        <v>1</v>
      </c>
      <c r="AB16" s="1806">
        <v>1</v>
      </c>
      <c r="AC16" s="2670">
        <v>1</v>
      </c>
    </row>
    <row r="17" spans="1:29" ht="142.5">
      <c r="A17" s="428"/>
      <c r="B17" s="631" t="s">
        <v>2052</v>
      </c>
      <c r="C17" s="2671" t="str">
        <f>估价对象房地状况!C6</f>
        <v>估价对象周边道路状况较好、公共交通通达情况较好、停车便捷程度较好，周边有地铁14号线东风北桥站，周边有402/403等公交线路，综合评价交通便捷度较好</v>
      </c>
      <c r="D17" s="450">
        <v>100</v>
      </c>
      <c r="E17" s="454" t="s">
        <v>3070</v>
      </c>
      <c r="F17" s="450">
        <f>SUMIF(79:79,E18,80:80)-SUMIF(79:79,C18,80:80)+100</f>
        <v>100</v>
      </c>
      <c r="G17" s="454" t="s">
        <v>3070</v>
      </c>
      <c r="H17" s="455">
        <f>SUMIF(79:79,G18,80:80)-SUMIF(79:79,C18,80:80)+100</f>
        <v>100</v>
      </c>
      <c r="I17" s="454" t="s">
        <v>3070</v>
      </c>
      <c r="J17" s="455">
        <f>SUMIF(79:79,I18,80:80)-SUMIF(79:79,C18,80:80)+100</f>
        <v>100</v>
      </c>
      <c r="K17" s="614">
        <v>1</v>
      </c>
      <c r="L17" s="1136"/>
      <c r="M17" s="1127"/>
      <c r="N17" s="1127"/>
      <c r="O17" s="1127"/>
      <c r="P17" s="3344"/>
      <c r="Q17" s="1805" t="str">
        <f>B17</f>
        <v>交通便捷度</v>
      </c>
      <c r="R17" s="774" t="s">
        <v>17</v>
      </c>
      <c r="S17" s="775">
        <f>F17</f>
        <v>100</v>
      </c>
      <c r="T17" s="774" t="s">
        <v>17</v>
      </c>
      <c r="U17" s="775">
        <f>H17</f>
        <v>100</v>
      </c>
      <c r="V17" s="774" t="s">
        <v>17</v>
      </c>
      <c r="W17" s="775">
        <f>J17</f>
        <v>100</v>
      </c>
      <c r="X17" s="1808"/>
      <c r="Y17" s="3337"/>
      <c r="Z17" s="1809" t="str">
        <f>Q17</f>
        <v>交通便捷度</v>
      </c>
      <c r="AA17" s="1806">
        <f t="shared" si="3"/>
        <v>1</v>
      </c>
      <c r="AB17" s="1806">
        <f t="shared" si="4"/>
        <v>1</v>
      </c>
      <c r="AC17" s="2670">
        <f t="shared" si="5"/>
        <v>1</v>
      </c>
    </row>
    <row r="18" spans="1:29" ht="15">
      <c r="A18" s="428"/>
      <c r="B18" s="632"/>
      <c r="C18" s="2672" t="s">
        <v>3065</v>
      </c>
      <c r="D18" s="450"/>
      <c r="E18" s="2605" t="s">
        <v>3065</v>
      </c>
      <c r="F18" s="450"/>
      <c r="G18" s="2605" t="s">
        <v>3065</v>
      </c>
      <c r="H18" s="448"/>
      <c r="I18" s="2605" t="s">
        <v>3065</v>
      </c>
      <c r="J18" s="448"/>
      <c r="K18" s="615"/>
      <c r="L18" s="1136"/>
      <c r="M18" s="1127"/>
      <c r="N18" s="1127"/>
      <c r="O18" s="1127"/>
      <c r="P18" s="3344"/>
      <c r="Q18" s="1805"/>
      <c r="R18" s="774"/>
      <c r="S18" s="775"/>
      <c r="T18" s="774"/>
      <c r="U18" s="775"/>
      <c r="V18" s="774"/>
      <c r="W18" s="775"/>
      <c r="X18" s="1808"/>
      <c r="Y18" s="3337"/>
      <c r="Z18" s="1809"/>
      <c r="AA18" s="1806">
        <v>1</v>
      </c>
      <c r="AB18" s="1806">
        <v>1</v>
      </c>
      <c r="AC18" s="2670">
        <v>1</v>
      </c>
    </row>
    <row r="19" spans="1:29" ht="42.75">
      <c r="A19" s="428"/>
      <c r="B19" s="631" t="s">
        <v>2641</v>
      </c>
      <c r="C19" s="2671" t="str">
        <f>估价对象房地状况!C7</f>
        <v>估价对象所在区域公共配套设施齐备情况较好</v>
      </c>
      <c r="D19" s="455">
        <v>100</v>
      </c>
      <c r="E19" s="459" t="s">
        <v>3071</v>
      </c>
      <c r="F19" s="455">
        <f>SUMIF(81:81,E20,82:82)-SUMIF(81:81,C20,82:82)+100</f>
        <v>100</v>
      </c>
      <c r="G19" s="459" t="s">
        <v>3071</v>
      </c>
      <c r="H19" s="450">
        <f>SUMIF(81:81,G20,82:82)-SUMIF(81:81,C20,82:82)+100</f>
        <v>100</v>
      </c>
      <c r="I19" s="459" t="s">
        <v>3071</v>
      </c>
      <c r="J19" s="450">
        <f>SUMIF(81:81,I20,82:82)-SUMIF(81:81,C20,82:82)+100</f>
        <v>100</v>
      </c>
      <c r="K19" s="614">
        <v>1</v>
      </c>
      <c r="L19" s="1136"/>
      <c r="M19" s="1127"/>
      <c r="N19" s="1127"/>
      <c r="O19" s="1127"/>
      <c r="P19" s="3344"/>
      <c r="Q19" s="1805" t="str">
        <f>B19</f>
        <v>公共配套设施</v>
      </c>
      <c r="R19" s="774" t="s">
        <v>17</v>
      </c>
      <c r="S19" s="775">
        <f>F19</f>
        <v>100</v>
      </c>
      <c r="T19" s="774" t="s">
        <v>17</v>
      </c>
      <c r="U19" s="775">
        <f>H19</f>
        <v>100</v>
      </c>
      <c r="V19" s="774" t="s">
        <v>17</v>
      </c>
      <c r="W19" s="775">
        <f>J19</f>
        <v>100</v>
      </c>
      <c r="X19" s="1808"/>
      <c r="Y19" s="3337"/>
      <c r="Z19" s="1809" t="str">
        <f>Q19</f>
        <v>公共配套设施</v>
      </c>
      <c r="AA19" s="1806">
        <f t="shared" si="3"/>
        <v>1</v>
      </c>
      <c r="AB19" s="1806">
        <f t="shared" si="4"/>
        <v>1</v>
      </c>
      <c r="AC19" s="2670">
        <f t="shared" si="5"/>
        <v>1</v>
      </c>
    </row>
    <row r="20" spans="1:29" ht="15">
      <c r="A20" s="428"/>
      <c r="B20" s="632"/>
      <c r="C20" s="2607" t="s">
        <v>3065</v>
      </c>
      <c r="D20" s="448"/>
      <c r="E20" s="2600" t="s">
        <v>3065</v>
      </c>
      <c r="F20" s="448"/>
      <c r="G20" s="2600" t="s">
        <v>3065</v>
      </c>
      <c r="H20" s="448"/>
      <c r="I20" s="2600" t="s">
        <v>3065</v>
      </c>
      <c r="J20" s="448"/>
      <c r="K20" s="615"/>
      <c r="L20" s="1136"/>
      <c r="M20" s="1127"/>
      <c r="N20" s="1127"/>
      <c r="O20" s="1127"/>
      <c r="P20" s="3344"/>
      <c r="Q20" s="1805"/>
      <c r="R20" s="774"/>
      <c r="S20" s="775"/>
      <c r="T20" s="774"/>
      <c r="U20" s="775"/>
      <c r="V20" s="774"/>
      <c r="W20" s="775"/>
      <c r="X20" s="1808"/>
      <c r="Y20" s="3337"/>
      <c r="Z20" s="1809"/>
      <c r="AA20" s="1806">
        <v>1</v>
      </c>
      <c r="AB20" s="1806">
        <v>1</v>
      </c>
      <c r="AC20" s="2670">
        <v>1</v>
      </c>
    </row>
    <row r="21" spans="1:29" ht="28.5">
      <c r="A21" s="428"/>
      <c r="B21" s="633" t="s">
        <v>2642</v>
      </c>
      <c r="C21" s="2671" t="str">
        <f>估价对象房地状况!C8</f>
        <v>估价对象所在区域基础设施水平较好</v>
      </c>
      <c r="D21" s="450">
        <v>100</v>
      </c>
      <c r="E21" s="459" t="s">
        <v>3072</v>
      </c>
      <c r="F21" s="455">
        <f>SUMIF(83:83,E22,84:84)-SUMIF(83:83,C22,84:84)+100</f>
        <v>100</v>
      </c>
      <c r="G21" s="459" t="s">
        <v>3072</v>
      </c>
      <c r="H21" s="450">
        <f>SUMIF(83:83,G22,84:84)-SUMIF(83:83,C22,84:84)+100</f>
        <v>100</v>
      </c>
      <c r="I21" s="459" t="s">
        <v>3072</v>
      </c>
      <c r="J21" s="450">
        <f>SUMIF(83:83,I22,84:84)-SUMIF(83:83,C22,84:84)+100</f>
        <v>100</v>
      </c>
      <c r="K21" s="614">
        <v>1</v>
      </c>
      <c r="L21" s="1136"/>
      <c r="M21" s="1127"/>
      <c r="N21" s="1127"/>
      <c r="O21" s="1127"/>
      <c r="P21" s="3344"/>
      <c r="Q21" s="1805" t="str">
        <f>B21</f>
        <v>基础设施水平</v>
      </c>
      <c r="R21" s="774" t="s">
        <v>17</v>
      </c>
      <c r="S21" s="775">
        <f>F21</f>
        <v>100</v>
      </c>
      <c r="T21" s="774" t="s">
        <v>17</v>
      </c>
      <c r="U21" s="775">
        <f>H21</f>
        <v>100</v>
      </c>
      <c r="V21" s="774" t="s">
        <v>17</v>
      </c>
      <c r="W21" s="775">
        <f>J21</f>
        <v>100</v>
      </c>
      <c r="X21" s="1808"/>
      <c r="Y21" s="3337"/>
      <c r="Z21" s="1809" t="str">
        <f>Q21</f>
        <v>基础设施水平</v>
      </c>
      <c r="AA21" s="1806">
        <f t="shared" ref="AA21" si="8">D21/F21</f>
        <v>1</v>
      </c>
      <c r="AB21" s="1806">
        <f t="shared" ref="AB21" si="9">D21/H21</f>
        <v>1</v>
      </c>
      <c r="AC21" s="2670">
        <f t="shared" ref="AC21" si="10">D21/J21</f>
        <v>1</v>
      </c>
    </row>
    <row r="22" spans="1:29" ht="15">
      <c r="A22" s="428"/>
      <c r="B22" s="633"/>
      <c r="C22" s="2672" t="s">
        <v>3059</v>
      </c>
      <c r="D22" s="448"/>
      <c r="E22" s="447" t="s">
        <v>3059</v>
      </c>
      <c r="F22" s="448"/>
      <c r="G22" s="447" t="s">
        <v>3059</v>
      </c>
      <c r="H22" s="448"/>
      <c r="I22" s="447" t="s">
        <v>3059</v>
      </c>
      <c r="J22" s="448"/>
      <c r="K22" s="1379"/>
      <c r="L22" s="1136"/>
      <c r="M22" s="1127"/>
      <c r="N22" s="1127"/>
      <c r="O22" s="1127"/>
      <c r="P22" s="3344"/>
      <c r="Q22" s="1805"/>
      <c r="R22" s="774"/>
      <c r="S22" s="775"/>
      <c r="T22" s="774"/>
      <c r="U22" s="775"/>
      <c r="V22" s="774"/>
      <c r="W22" s="775"/>
      <c r="X22" s="1808"/>
      <c r="Y22" s="3337"/>
      <c r="Z22" s="1809"/>
      <c r="AA22" s="1806">
        <v>1</v>
      </c>
      <c r="AB22" s="1806">
        <v>1</v>
      </c>
      <c r="AC22" s="2670">
        <v>1</v>
      </c>
    </row>
    <row r="23" spans="1:29" ht="85.5">
      <c r="A23" s="428"/>
      <c r="B23" s="631" t="s">
        <v>2643</v>
      </c>
      <c r="C23" s="2671" t="str">
        <f>估价对象房地状况!C9</f>
        <v>区域自然环境好：周边临近朝阳公园；人文环境好：周边临近农业展览馆；综合评价环境状况好</v>
      </c>
      <c r="D23" s="450">
        <v>100</v>
      </c>
      <c r="E23" s="3071" t="s">
        <v>3379</v>
      </c>
      <c r="F23" s="450">
        <f>SUMIF(85:85,E24,86:86)-SUMIF(85:85,C24,86:86)+100</f>
        <v>100</v>
      </c>
      <c r="G23" s="3071" t="s">
        <v>3379</v>
      </c>
      <c r="H23" s="450">
        <f>SUMIF(85:85,G24,86:86)-SUMIF(85:85,C24,86:86)+100</f>
        <v>100</v>
      </c>
      <c r="I23" s="3071" t="s">
        <v>3379</v>
      </c>
      <c r="J23" s="450">
        <f>SUMIF(85:85,I24,86:86)-SUMIF(85:85,C24,86:86)+100</f>
        <v>100</v>
      </c>
      <c r="K23" s="614">
        <v>1</v>
      </c>
      <c r="L23" s="1136"/>
      <c r="M23" s="1127"/>
      <c r="N23" s="1127"/>
      <c r="O23" s="1127"/>
      <c r="P23" s="3344"/>
      <c r="Q23" s="1805" t="str">
        <f>B23</f>
        <v>环境质量</v>
      </c>
      <c r="R23" s="774" t="s">
        <v>17</v>
      </c>
      <c r="S23" s="775">
        <f>F23</f>
        <v>100</v>
      </c>
      <c r="T23" s="774" t="s">
        <v>17</v>
      </c>
      <c r="U23" s="775">
        <f>H23</f>
        <v>100</v>
      </c>
      <c r="V23" s="774" t="s">
        <v>17</v>
      </c>
      <c r="W23" s="775">
        <f>J23</f>
        <v>100</v>
      </c>
      <c r="X23" s="1808"/>
      <c r="Y23" s="3337"/>
      <c r="Z23" s="1809" t="str">
        <f>Q23</f>
        <v>环境质量</v>
      </c>
      <c r="AA23" s="1806">
        <f t="shared" si="3"/>
        <v>1</v>
      </c>
      <c r="AB23" s="1806">
        <f t="shared" si="4"/>
        <v>1</v>
      </c>
      <c r="AC23" s="2670">
        <f t="shared" si="5"/>
        <v>1</v>
      </c>
    </row>
    <row r="24" spans="1:29" ht="15">
      <c r="A24" s="428"/>
      <c r="B24" s="633"/>
      <c r="C24" s="2607" t="s">
        <v>3360</v>
      </c>
      <c r="D24" s="448"/>
      <c r="E24" s="2600" t="s">
        <v>3360</v>
      </c>
      <c r="F24" s="448"/>
      <c r="G24" s="2600" t="s">
        <v>3360</v>
      </c>
      <c r="H24" s="448"/>
      <c r="I24" s="2600" t="s">
        <v>3360</v>
      </c>
      <c r="J24" s="448"/>
      <c r="K24" s="615"/>
      <c r="L24" s="1136"/>
      <c r="M24" s="1127"/>
      <c r="N24" s="1127"/>
      <c r="O24" s="1127"/>
      <c r="P24" s="3344"/>
      <c r="Q24" s="1805"/>
      <c r="R24" s="774"/>
      <c r="S24" s="775"/>
      <c r="T24" s="774"/>
      <c r="U24" s="775"/>
      <c r="V24" s="774"/>
      <c r="W24" s="775"/>
      <c r="X24" s="1808"/>
      <c r="Y24" s="3337"/>
      <c r="Z24" s="1809"/>
      <c r="AA24" s="1806">
        <v>1</v>
      </c>
      <c r="AB24" s="1806">
        <v>1</v>
      </c>
      <c r="AC24" s="2670">
        <v>1</v>
      </c>
    </row>
    <row r="25" spans="1:29" ht="27">
      <c r="A25" s="404"/>
      <c r="B25" s="631" t="s">
        <v>2644</v>
      </c>
      <c r="C25" s="3069" t="s">
        <v>3366</v>
      </c>
      <c r="D25" s="435">
        <v>100</v>
      </c>
      <c r="E25" s="3069" t="s">
        <v>3366</v>
      </c>
      <c r="F25" s="435">
        <f>SUMIF(87:87,E26,88:88)-SUMIF(87:87,C26,88:88)+100</f>
        <v>100</v>
      </c>
      <c r="G25" s="3069" t="s">
        <v>3366</v>
      </c>
      <c r="H25" s="435">
        <f>SUMIF(87:87,G26,88:88)-SUMIF(87:87,C26,88:88)+100</f>
        <v>100</v>
      </c>
      <c r="I25" s="3069" t="s">
        <v>3366</v>
      </c>
      <c r="J25" s="435">
        <f>SUMIF(87:87,I26,88:88)-SUMIF(87:87,C26,88:88)+100</f>
        <v>100</v>
      </c>
      <c r="K25" s="614">
        <v>1</v>
      </c>
      <c r="L25" s="1136"/>
      <c r="M25" s="1127"/>
      <c r="N25" s="1127"/>
      <c r="O25" s="1127"/>
      <c r="P25" s="3344"/>
      <c r="Q25" s="1805" t="str">
        <f>B25</f>
        <v>毗邻道路的类型与等级</v>
      </c>
      <c r="R25" s="774" t="s">
        <v>17</v>
      </c>
      <c r="S25" s="775">
        <f>F25</f>
        <v>100</v>
      </c>
      <c r="T25" s="774" t="s">
        <v>17</v>
      </c>
      <c r="U25" s="775">
        <f>H25</f>
        <v>100</v>
      </c>
      <c r="V25" s="774" t="s">
        <v>17</v>
      </c>
      <c r="W25" s="775">
        <f>J25</f>
        <v>100</v>
      </c>
      <c r="X25" s="1808"/>
      <c r="Y25" s="3337"/>
      <c r="Z25" s="1809" t="str">
        <f>Q25</f>
        <v>毗邻道路的类型与等级</v>
      </c>
      <c r="AA25" s="1806">
        <f t="shared" si="3"/>
        <v>1</v>
      </c>
      <c r="AB25" s="1806">
        <f t="shared" si="4"/>
        <v>1</v>
      </c>
      <c r="AC25" s="2670">
        <f t="shared" si="5"/>
        <v>1</v>
      </c>
    </row>
    <row r="26" spans="1:29" ht="15">
      <c r="A26" s="404"/>
      <c r="B26" s="632"/>
      <c r="C26" s="634" t="s">
        <v>3365</v>
      </c>
      <c r="D26" s="435"/>
      <c r="E26" s="634" t="s">
        <v>3365</v>
      </c>
      <c r="F26" s="435"/>
      <c r="G26" s="634" t="s">
        <v>3365</v>
      </c>
      <c r="H26" s="435"/>
      <c r="I26" s="634" t="s">
        <v>3365</v>
      </c>
      <c r="J26" s="435"/>
      <c r="K26" s="615"/>
      <c r="L26" s="1136"/>
      <c r="M26" s="1127"/>
      <c r="N26" s="1127"/>
      <c r="O26" s="1127"/>
      <c r="P26" s="3344"/>
      <c r="Q26" s="1805"/>
      <c r="R26" s="774"/>
      <c r="S26" s="775"/>
      <c r="T26" s="774"/>
      <c r="U26" s="775"/>
      <c r="V26" s="774"/>
      <c r="W26" s="775"/>
      <c r="X26" s="1808"/>
      <c r="Y26" s="3337"/>
      <c r="Z26" s="1809"/>
      <c r="AA26" s="1806">
        <v>1</v>
      </c>
      <c r="AB26" s="1806">
        <v>1</v>
      </c>
      <c r="AC26" s="2670">
        <v>1</v>
      </c>
    </row>
    <row r="27" spans="1:29" ht="15">
      <c r="A27" s="428"/>
      <c r="B27" s="632" t="s">
        <v>2612</v>
      </c>
      <c r="C27" s="634" t="s">
        <v>3371</v>
      </c>
      <c r="D27" s="435">
        <v>100</v>
      </c>
      <c r="E27" s="616" t="s">
        <v>3367</v>
      </c>
      <c r="F27" s="435">
        <f>SUMIF(89:89,E27,90:90)-SUMIF(89:89,C27,90:90)+100</f>
        <v>102</v>
      </c>
      <c r="G27" s="616" t="s">
        <v>3367</v>
      </c>
      <c r="H27" s="435">
        <f>SUMIF(89:89,G27,90:90)-SUMIF(89:89,C27,90:90)+100</f>
        <v>102</v>
      </c>
      <c r="I27" s="616" t="s">
        <v>3369</v>
      </c>
      <c r="J27" s="435">
        <f>SUMIF(89:89,I27,90:90)-SUMIF(89:89,C27,90:90)+100</f>
        <v>101</v>
      </c>
      <c r="K27" s="612">
        <v>1</v>
      </c>
      <c r="L27" s="1136"/>
      <c r="M27" s="1127"/>
      <c r="N27" s="1127"/>
      <c r="O27" s="1127"/>
      <c r="P27" s="3344"/>
      <c r="Q27" s="1805" t="str">
        <f t="shared" ref="Q27:Q47" si="11">B27</f>
        <v>楼层</v>
      </c>
      <c r="R27" s="774" t="s">
        <v>17</v>
      </c>
      <c r="S27" s="775">
        <f>F27</f>
        <v>102</v>
      </c>
      <c r="T27" s="774" t="s">
        <v>17</v>
      </c>
      <c r="U27" s="775">
        <f>H27</f>
        <v>102</v>
      </c>
      <c r="V27" s="774" t="s">
        <v>17</v>
      </c>
      <c r="W27" s="775">
        <f>J27</f>
        <v>101</v>
      </c>
      <c r="X27" s="1808"/>
      <c r="Y27" s="3337"/>
      <c r="Z27" s="1809" t="str">
        <f>Q27</f>
        <v>楼层</v>
      </c>
      <c r="AA27" s="1806">
        <f t="shared" si="3"/>
        <v>0.98039215686274506</v>
      </c>
      <c r="AB27" s="1806">
        <f t="shared" si="4"/>
        <v>0.98039215686274506</v>
      </c>
      <c r="AC27" s="2670">
        <f t="shared" si="5"/>
        <v>0.99009900990099009</v>
      </c>
    </row>
    <row r="28" spans="1:29" s="117" customFormat="1" ht="15">
      <c r="A28" s="431"/>
      <c r="B28" s="631" t="s">
        <v>2645</v>
      </c>
      <c r="C28" s="2673" t="s">
        <v>3050</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8"/>
      <c r="M28" s="1129"/>
      <c r="N28" s="1129"/>
      <c r="O28" s="1129"/>
      <c r="P28" s="3344"/>
      <c r="Q28" s="1790" t="str">
        <f t="shared" si="11"/>
        <v>朝向</v>
      </c>
      <c r="R28" s="770" t="s">
        <v>17</v>
      </c>
      <c r="S28" s="771">
        <f>F28</f>
        <v>100</v>
      </c>
      <c r="T28" s="770" t="s">
        <v>17</v>
      </c>
      <c r="U28" s="771">
        <f>H28</f>
        <v>100</v>
      </c>
      <c r="V28" s="770" t="s">
        <v>17</v>
      </c>
      <c r="W28" s="771">
        <f>J28</f>
        <v>100</v>
      </c>
      <c r="X28" s="772"/>
      <c r="Y28" s="3337"/>
      <c r="Z28" s="55" t="str">
        <f>Q28</f>
        <v>朝向</v>
      </c>
      <c r="AA28" s="1806">
        <f>D28/F28</f>
        <v>1</v>
      </c>
      <c r="AB28" s="1806">
        <f>D28/H28</f>
        <v>1</v>
      </c>
      <c r="AC28" s="2670">
        <f>D28/J28</f>
        <v>1</v>
      </c>
    </row>
    <row r="29" spans="1:29" ht="15">
      <c r="A29" s="428"/>
      <c r="B29" s="2674"/>
      <c r="C29" s="2611"/>
      <c r="D29" s="435">
        <v>100</v>
      </c>
      <c r="E29" s="432"/>
      <c r="F29" s="435">
        <f>SUMIF(93:93,E29,94:94)-SUMIF(93:93,C29,94:94)+100</f>
        <v>100</v>
      </c>
      <c r="G29" s="432"/>
      <c r="H29" s="435">
        <f>SUMIF(93:93,G29,94:94)-SUMIF(93:93,C29,94:94)+100</f>
        <v>100</v>
      </c>
      <c r="I29" s="432"/>
      <c r="J29" s="435">
        <f>SUMIF(93:93,I29,94:94)-SUMIF(93:93,C29,94:94)+100</f>
        <v>100</v>
      </c>
      <c r="K29" s="613"/>
      <c r="L29" s="1136"/>
      <c r="M29" s="1127"/>
      <c r="N29" s="1127"/>
      <c r="O29" s="1127"/>
      <c r="P29" s="3344"/>
      <c r="Q29" s="1805">
        <f t="shared" si="11"/>
        <v>0</v>
      </c>
      <c r="R29" s="774" t="s">
        <v>17</v>
      </c>
      <c r="S29" s="775">
        <f t="shared" ref="S29:S47" si="12">F29</f>
        <v>100</v>
      </c>
      <c r="T29" s="774" t="s">
        <v>17</v>
      </c>
      <c r="U29" s="775">
        <f t="shared" ref="U29:U47" si="13">H29</f>
        <v>100</v>
      </c>
      <c r="V29" s="774" t="s">
        <v>17</v>
      </c>
      <c r="W29" s="775">
        <f t="shared" ref="W29:W47" si="14">J29</f>
        <v>100</v>
      </c>
      <c r="X29" s="1808"/>
      <c r="Y29" s="3337"/>
      <c r="Z29" s="1809">
        <f t="shared" ref="Z29:Z47" si="15">Q29</f>
        <v>0</v>
      </c>
      <c r="AA29" s="1806">
        <f t="shared" si="3"/>
        <v>1</v>
      </c>
      <c r="AB29" s="1806">
        <f t="shared" si="4"/>
        <v>1</v>
      </c>
      <c r="AC29" s="2670">
        <f t="shared" si="5"/>
        <v>1</v>
      </c>
    </row>
    <row r="30" spans="1:29" ht="15">
      <c r="A30" s="428"/>
      <c r="B30" s="2674"/>
      <c r="C30" s="2611"/>
      <c r="D30" s="435">
        <v>100</v>
      </c>
      <c r="E30" s="432"/>
      <c r="F30" s="435">
        <f>SUMIF(95:95,E30,96:96)-SUMIF(95:95,C30,96:96)+100</f>
        <v>100</v>
      </c>
      <c r="G30" s="432"/>
      <c r="H30" s="435">
        <f>SUMIF(95:95,G30,96:96)-SUMIF(95:95,C30,96:96)+100</f>
        <v>100</v>
      </c>
      <c r="I30" s="432"/>
      <c r="J30" s="435">
        <f>SUMIF(95:95,I30,96:96)-SUMIF(95:95,C30,96:96)+100</f>
        <v>100</v>
      </c>
      <c r="K30" s="613"/>
      <c r="L30" s="1136"/>
      <c r="M30" s="1127"/>
      <c r="N30" s="1127"/>
      <c r="O30" s="1127"/>
      <c r="P30" s="3344"/>
      <c r="Q30" s="1805">
        <f t="shared" si="11"/>
        <v>0</v>
      </c>
      <c r="R30" s="774" t="s">
        <v>17</v>
      </c>
      <c r="S30" s="775">
        <f t="shared" si="12"/>
        <v>100</v>
      </c>
      <c r="T30" s="774" t="s">
        <v>17</v>
      </c>
      <c r="U30" s="775">
        <f t="shared" si="13"/>
        <v>100</v>
      </c>
      <c r="V30" s="774" t="s">
        <v>17</v>
      </c>
      <c r="W30" s="775">
        <f t="shared" si="14"/>
        <v>100</v>
      </c>
      <c r="X30" s="1808"/>
      <c r="Y30" s="3337"/>
      <c r="Z30" s="1809">
        <f t="shared" si="15"/>
        <v>0</v>
      </c>
      <c r="AA30" s="1806">
        <f t="shared" si="3"/>
        <v>1</v>
      </c>
      <c r="AB30" s="1806">
        <f t="shared" si="4"/>
        <v>1</v>
      </c>
      <c r="AC30" s="2670">
        <f t="shared" si="5"/>
        <v>1</v>
      </c>
    </row>
    <row r="31" spans="1:29" ht="15">
      <c r="A31" s="428"/>
      <c r="B31" s="2674"/>
      <c r="C31" s="2611"/>
      <c r="D31" s="435">
        <v>100</v>
      </c>
      <c r="E31" s="432"/>
      <c r="F31" s="435">
        <f>SUMIF(97:97,E31,98:98)-SUMIF(97:97,C31,98:98)+100</f>
        <v>100</v>
      </c>
      <c r="G31" s="432"/>
      <c r="H31" s="435">
        <f>SUMIF(97:97,G31,98:98)-SUMIF(97:97,C31,98:98)+100</f>
        <v>100</v>
      </c>
      <c r="I31" s="432"/>
      <c r="J31" s="435">
        <f>SUMIF(97:97,I31,98:98)-SUMIF(97:97,C31,98:98)+100</f>
        <v>100</v>
      </c>
      <c r="K31" s="613"/>
      <c r="L31" s="1136"/>
      <c r="M31" s="1127"/>
      <c r="N31" s="1127"/>
      <c r="O31" s="1127"/>
      <c r="P31" s="3344"/>
      <c r="Q31" s="1805">
        <f t="shared" si="11"/>
        <v>0</v>
      </c>
      <c r="R31" s="774" t="s">
        <v>17</v>
      </c>
      <c r="S31" s="775">
        <f t="shared" si="12"/>
        <v>100</v>
      </c>
      <c r="T31" s="774" t="s">
        <v>17</v>
      </c>
      <c r="U31" s="775">
        <f t="shared" si="13"/>
        <v>100</v>
      </c>
      <c r="V31" s="774" t="s">
        <v>17</v>
      </c>
      <c r="W31" s="775">
        <f t="shared" si="14"/>
        <v>100</v>
      </c>
      <c r="X31" s="1808"/>
      <c r="Y31" s="3337"/>
      <c r="Z31" s="1809">
        <f t="shared" si="15"/>
        <v>0</v>
      </c>
      <c r="AA31" s="1806">
        <f t="shared" si="3"/>
        <v>1</v>
      </c>
      <c r="AB31" s="1806">
        <f t="shared" si="4"/>
        <v>1</v>
      </c>
      <c r="AC31" s="2670">
        <f t="shared" si="5"/>
        <v>1</v>
      </c>
    </row>
    <row r="32" spans="1:29" ht="15.75" thickBot="1">
      <c r="A32" s="436"/>
      <c r="B32" s="635"/>
      <c r="C32" s="2612"/>
      <c r="D32" s="438">
        <v>100</v>
      </c>
      <c r="E32" s="628"/>
      <c r="F32" s="438">
        <f>SUMIF(99:99,E32,100:100)-SUMIF(99:99,C32,100:100)+100</f>
        <v>100</v>
      </c>
      <c r="G32" s="628"/>
      <c r="H32" s="438">
        <f>SUMIF(99:99,G32,100:100)-SUMIF(99:99,C32,100:100)+100</f>
        <v>100</v>
      </c>
      <c r="I32" s="628"/>
      <c r="J32" s="438">
        <f>SUMIF(99:99,I32,100:100)-SUMIF(99:99,C32,100:100)+100</f>
        <v>100</v>
      </c>
      <c r="K32" s="613"/>
      <c r="L32" s="1136"/>
      <c r="M32" s="1127"/>
      <c r="N32" s="1127"/>
      <c r="O32" s="1127"/>
      <c r="P32" s="3344"/>
      <c r="Q32" s="1805">
        <f t="shared" si="11"/>
        <v>0</v>
      </c>
      <c r="R32" s="774" t="s">
        <v>17</v>
      </c>
      <c r="S32" s="775">
        <f t="shared" si="12"/>
        <v>100</v>
      </c>
      <c r="T32" s="774" t="s">
        <v>17</v>
      </c>
      <c r="U32" s="775">
        <f t="shared" si="13"/>
        <v>100</v>
      </c>
      <c r="V32" s="774" t="s">
        <v>17</v>
      </c>
      <c r="W32" s="775">
        <f t="shared" si="14"/>
        <v>100</v>
      </c>
      <c r="X32" s="1808"/>
      <c r="Y32" s="3337"/>
      <c r="Z32" s="1809">
        <f t="shared" si="15"/>
        <v>0</v>
      </c>
      <c r="AA32" s="1806">
        <f t="shared" si="3"/>
        <v>1</v>
      </c>
      <c r="AB32" s="1806">
        <f t="shared" si="4"/>
        <v>1</v>
      </c>
      <c r="AC32" s="2670">
        <f t="shared" si="5"/>
        <v>1</v>
      </c>
    </row>
    <row r="33" spans="1:29" ht="15">
      <c r="A33" s="440" t="s">
        <v>2516</v>
      </c>
      <c r="B33" s="71" t="s">
        <v>2646</v>
      </c>
      <c r="C33" s="2675" t="s">
        <v>3051</v>
      </c>
      <c r="D33" s="467">
        <v>100</v>
      </c>
      <c r="E33" s="2675" t="s">
        <v>3051</v>
      </c>
      <c r="F33" s="461">
        <f>SUMIF(101:101,E33,102:102)-SUMIF(101:101,C33,102:102)+100</f>
        <v>100</v>
      </c>
      <c r="G33" s="2675" t="s">
        <v>3051</v>
      </c>
      <c r="H33" s="435">
        <f>SUMIF(101:101,G33,102:102)-SUMIF(101:101,C33,102:102)+100</f>
        <v>100</v>
      </c>
      <c r="I33" s="2675" t="s">
        <v>3051</v>
      </c>
      <c r="J33" s="467">
        <f>SUMIF(101:101,I33,102:102)-SUMIF(101:101,C33,102:102)+100</f>
        <v>100</v>
      </c>
      <c r="K33" s="612">
        <v>1</v>
      </c>
      <c r="L33" s="1136"/>
      <c r="M33" s="1127"/>
      <c r="N33" s="1127"/>
      <c r="O33" s="1127"/>
      <c r="P33" s="3338" t="s">
        <v>2518</v>
      </c>
      <c r="Q33" s="1805" t="str">
        <f t="shared" si="11"/>
        <v>建筑类型</v>
      </c>
      <c r="R33" s="774" t="s">
        <v>17</v>
      </c>
      <c r="S33" s="775">
        <f t="shared" si="12"/>
        <v>100</v>
      </c>
      <c r="T33" s="774" t="s">
        <v>17</v>
      </c>
      <c r="U33" s="775">
        <f t="shared" si="13"/>
        <v>100</v>
      </c>
      <c r="V33" s="774" t="s">
        <v>17</v>
      </c>
      <c r="W33" s="775">
        <f t="shared" si="14"/>
        <v>100</v>
      </c>
      <c r="X33" s="1808"/>
      <c r="Y33" s="3341" t="s">
        <v>2518</v>
      </c>
      <c r="Z33" s="1809" t="str">
        <f t="shared" si="15"/>
        <v>建筑类型</v>
      </c>
      <c r="AA33" s="1806">
        <f t="shared" si="3"/>
        <v>1</v>
      </c>
      <c r="AB33" s="1806">
        <f t="shared" si="4"/>
        <v>1</v>
      </c>
      <c r="AC33" s="2670">
        <f t="shared" si="5"/>
        <v>1</v>
      </c>
    </row>
    <row r="34" spans="1:29" s="471" customFormat="1" ht="15">
      <c r="A34" s="468"/>
      <c r="B34" s="422" t="s">
        <v>2519</v>
      </c>
      <c r="C34" s="469">
        <f>'典型户型修正-办公'!B24</f>
        <v>2099.0100000000002</v>
      </c>
      <c r="D34" s="136">
        <v>100</v>
      </c>
      <c r="E34" s="430">
        <v>342</v>
      </c>
      <c r="F34" s="425">
        <f>LOOKUP(E34,104:104,105:105)-LOOKUP(C34,104:104,105:105)+100</f>
        <v>99</v>
      </c>
      <c r="G34" s="430">
        <v>1350</v>
      </c>
      <c r="H34" s="136">
        <f>LOOKUP(G34,104:104,105:105)-LOOKUP(C34,104:104,105:105)+100</f>
        <v>99</v>
      </c>
      <c r="I34" s="430">
        <v>898</v>
      </c>
      <c r="J34" s="136">
        <f>LOOKUP(I34,104:104,105:105)-LOOKUP(C34,104:104,105:105)+100</f>
        <v>99</v>
      </c>
      <c r="K34" s="613"/>
      <c r="L34" s="1134"/>
      <c r="M34" s="1137"/>
      <c r="N34" s="1137"/>
      <c r="O34" s="1137"/>
      <c r="P34" s="3339"/>
      <c r="Q34" s="776" t="str">
        <f t="shared" si="11"/>
        <v>项目建筑规模</v>
      </c>
      <c r="R34" s="777" t="s">
        <v>17</v>
      </c>
      <c r="S34" s="778">
        <f t="shared" si="12"/>
        <v>99</v>
      </c>
      <c r="T34" s="777" t="s">
        <v>17</v>
      </c>
      <c r="U34" s="778">
        <f t="shared" si="13"/>
        <v>99</v>
      </c>
      <c r="V34" s="777" t="s">
        <v>17</v>
      </c>
      <c r="W34" s="778">
        <f t="shared" si="14"/>
        <v>99</v>
      </c>
      <c r="X34" s="779"/>
      <c r="Y34" s="3341"/>
      <c r="Z34" s="780" t="str">
        <f t="shared" si="15"/>
        <v>项目建筑规模</v>
      </c>
      <c r="AA34" s="1806">
        <f t="shared" si="3"/>
        <v>1.0101010101010102</v>
      </c>
      <c r="AB34" s="1806">
        <f t="shared" si="4"/>
        <v>1.0101010101010102</v>
      </c>
      <c r="AC34" s="2670">
        <f t="shared" si="5"/>
        <v>1.0101010101010102</v>
      </c>
    </row>
    <row r="35" spans="1:29" ht="15">
      <c r="A35" s="472"/>
      <c r="B35" s="422" t="s">
        <v>2520</v>
      </c>
      <c r="C35" s="460" t="s">
        <v>3053</v>
      </c>
      <c r="D35" s="435">
        <v>100</v>
      </c>
      <c r="E35" s="460" t="s">
        <v>3053</v>
      </c>
      <c r="F35" s="461">
        <f>SUMIF(106:106,E35,107:107)-SUMIF(106:106,C35,107:107)+100</f>
        <v>100</v>
      </c>
      <c r="G35" s="460" t="s">
        <v>3053</v>
      </c>
      <c r="H35" s="435">
        <f>SUMIF(106:106,G35,107:107)-SUMIF(106:106,C35,107:107)+100</f>
        <v>100</v>
      </c>
      <c r="I35" s="460" t="s">
        <v>3053</v>
      </c>
      <c r="J35" s="435">
        <f>SUMIF(106:106,I35,107:107)-SUMIF(106:106,C35,107:107)+100</f>
        <v>100</v>
      </c>
      <c r="K35" s="612">
        <v>1</v>
      </c>
      <c r="L35" s="1136"/>
      <c r="M35" s="1127"/>
      <c r="N35" s="1127"/>
      <c r="O35" s="1127"/>
      <c r="P35" s="3339"/>
      <c r="Q35" s="1805" t="str">
        <f t="shared" si="11"/>
        <v>建筑结构</v>
      </c>
      <c r="R35" s="774" t="s">
        <v>17</v>
      </c>
      <c r="S35" s="775">
        <f t="shared" si="12"/>
        <v>100</v>
      </c>
      <c r="T35" s="774" t="s">
        <v>17</v>
      </c>
      <c r="U35" s="775">
        <f t="shared" si="13"/>
        <v>100</v>
      </c>
      <c r="V35" s="774" t="s">
        <v>17</v>
      </c>
      <c r="W35" s="775">
        <f t="shared" si="14"/>
        <v>100</v>
      </c>
      <c r="X35" s="1808"/>
      <c r="Y35" s="3341"/>
      <c r="Z35" s="1809" t="str">
        <f t="shared" si="15"/>
        <v>建筑结构</v>
      </c>
      <c r="AA35" s="1806">
        <f t="shared" si="3"/>
        <v>1</v>
      </c>
      <c r="AB35" s="1806">
        <f t="shared" si="4"/>
        <v>1</v>
      </c>
      <c r="AC35" s="2670">
        <f t="shared" si="5"/>
        <v>1</v>
      </c>
    </row>
    <row r="36" spans="1:29" ht="15">
      <c r="A36" s="472"/>
      <c r="B36" s="422" t="s">
        <v>2614</v>
      </c>
      <c r="C36" s="460" t="s">
        <v>3063</v>
      </c>
      <c r="D36" s="435">
        <v>100</v>
      </c>
      <c r="E36" s="460" t="s">
        <v>3063</v>
      </c>
      <c r="F36" s="461">
        <f>SUMIF(108:108,E36,109:109)-SUMIF(108:108,C36,109:109)+100</f>
        <v>100</v>
      </c>
      <c r="G36" s="460" t="s">
        <v>3063</v>
      </c>
      <c r="H36" s="435">
        <f>SUMIF(108:108,G36,109:109)-SUMIF(108:108,C36,109:109)+100</f>
        <v>100</v>
      </c>
      <c r="I36" s="460" t="s">
        <v>3063</v>
      </c>
      <c r="J36" s="435">
        <f>SUMIF(108:108,I36,109:109)-SUMIF(108:108,C36,109:109)+100</f>
        <v>100</v>
      </c>
      <c r="K36" s="612">
        <v>1</v>
      </c>
      <c r="L36" s="1136"/>
      <c r="M36" s="1127"/>
      <c r="N36" s="1127"/>
      <c r="O36" s="1127"/>
      <c r="P36" s="3339"/>
      <c r="Q36" s="1805" t="str">
        <f t="shared" si="11"/>
        <v>公共部分装修</v>
      </c>
      <c r="R36" s="774" t="s">
        <v>17</v>
      </c>
      <c r="S36" s="775">
        <f t="shared" si="12"/>
        <v>100</v>
      </c>
      <c r="T36" s="774" t="s">
        <v>17</v>
      </c>
      <c r="U36" s="775">
        <f t="shared" si="13"/>
        <v>100</v>
      </c>
      <c r="V36" s="774" t="s">
        <v>17</v>
      </c>
      <c r="W36" s="775">
        <f t="shared" si="14"/>
        <v>100</v>
      </c>
      <c r="X36" s="1808"/>
      <c r="Y36" s="3341"/>
      <c r="Z36" s="1809" t="str">
        <f t="shared" si="15"/>
        <v>公共部分装修</v>
      </c>
      <c r="AA36" s="1806">
        <f t="shared" si="3"/>
        <v>1</v>
      </c>
      <c r="AB36" s="1806">
        <f t="shared" si="4"/>
        <v>1</v>
      </c>
      <c r="AC36" s="2670">
        <f t="shared" si="5"/>
        <v>1</v>
      </c>
    </row>
    <row r="37" spans="1:29" ht="15">
      <c r="A37" s="472"/>
      <c r="B37" s="422" t="s">
        <v>2615</v>
      </c>
      <c r="C37" s="474">
        <f>'数据-取费表'!N6</f>
        <v>0.62</v>
      </c>
      <c r="D37" s="435">
        <v>100</v>
      </c>
      <c r="E37" s="474">
        <v>0.62</v>
      </c>
      <c r="F37" s="461">
        <f>LOOKUP(E37,111:111,112:112)-LOOKUP(C37,111:111,112:112)+100</f>
        <v>100</v>
      </c>
      <c r="G37" s="474">
        <v>0.62</v>
      </c>
      <c r="H37" s="461">
        <f>LOOKUP(G37,111:111,112:112)-LOOKUP(C37,111:111,112:112)+100</f>
        <v>100</v>
      </c>
      <c r="I37" s="474">
        <v>0.62</v>
      </c>
      <c r="J37" s="435">
        <f>LOOKUP(I37,111:111,112:112)-LOOKUP(C37,111:111,112:112)+100</f>
        <v>100</v>
      </c>
      <c r="K37" s="612">
        <v>1</v>
      </c>
      <c r="L37" s="1136"/>
      <c r="M37" s="1127"/>
      <c r="N37" s="1127"/>
      <c r="O37" s="1127"/>
      <c r="P37" s="3339"/>
      <c r="Q37" s="1805" t="str">
        <f t="shared" si="11"/>
        <v>成新度</v>
      </c>
      <c r="R37" s="774" t="s">
        <v>17</v>
      </c>
      <c r="S37" s="775">
        <f t="shared" si="12"/>
        <v>100</v>
      </c>
      <c r="T37" s="774" t="s">
        <v>17</v>
      </c>
      <c r="U37" s="775">
        <f t="shared" si="13"/>
        <v>100</v>
      </c>
      <c r="V37" s="774" t="s">
        <v>17</v>
      </c>
      <c r="W37" s="775">
        <f t="shared" si="14"/>
        <v>100</v>
      </c>
      <c r="X37" s="1808"/>
      <c r="Y37" s="3341"/>
      <c r="Z37" s="1809" t="str">
        <f t="shared" si="15"/>
        <v>成新度</v>
      </c>
      <c r="AA37" s="1806">
        <f t="shared" si="3"/>
        <v>1</v>
      </c>
      <c r="AB37" s="1806">
        <f t="shared" si="4"/>
        <v>1</v>
      </c>
      <c r="AC37" s="2670">
        <f t="shared" si="5"/>
        <v>1</v>
      </c>
    </row>
    <row r="38" spans="1:29" s="117" customFormat="1" ht="15">
      <c r="A38" s="473"/>
      <c r="B38" s="422" t="s">
        <v>2647</v>
      </c>
      <c r="C38" s="460" t="s">
        <v>3055</v>
      </c>
      <c r="D38" s="136">
        <v>100</v>
      </c>
      <c r="E38" s="460" t="s">
        <v>3055</v>
      </c>
      <c r="F38" s="461">
        <f>SUMIF(113:113,E38,114:114)-SUMIF(113:113,C38,114:114)+100</f>
        <v>100</v>
      </c>
      <c r="G38" s="460" t="s">
        <v>3055</v>
      </c>
      <c r="H38" s="435">
        <f>SUMIF(113:113,G38,114:114)-SUMIF(113:113,C38,114:114)+100</f>
        <v>100</v>
      </c>
      <c r="I38" s="460" t="s">
        <v>3055</v>
      </c>
      <c r="J38" s="435">
        <f>SUMIF(113:113,I38,114:114)-SUMIF(113:113,C38,114:114)+100</f>
        <v>100</v>
      </c>
      <c r="K38" s="612">
        <v>1</v>
      </c>
      <c r="L38" s="1128"/>
      <c r="M38" s="1129"/>
      <c r="N38" s="1129"/>
      <c r="O38" s="1129"/>
      <c r="P38" s="3339"/>
      <c r="Q38" s="1790" t="str">
        <f t="shared" si="11"/>
        <v>写字楼等级</v>
      </c>
      <c r="R38" s="770" t="s">
        <v>17</v>
      </c>
      <c r="S38" s="771">
        <f t="shared" si="12"/>
        <v>100</v>
      </c>
      <c r="T38" s="770" t="s">
        <v>17</v>
      </c>
      <c r="U38" s="771">
        <f t="shared" si="13"/>
        <v>100</v>
      </c>
      <c r="V38" s="770" t="s">
        <v>17</v>
      </c>
      <c r="W38" s="771">
        <f t="shared" si="14"/>
        <v>100</v>
      </c>
      <c r="X38" s="772"/>
      <c r="Y38" s="3341"/>
      <c r="Z38" s="55" t="str">
        <f t="shared" si="15"/>
        <v>写字楼等级</v>
      </c>
      <c r="AA38" s="773">
        <f t="shared" si="3"/>
        <v>1</v>
      </c>
      <c r="AB38" s="773">
        <f t="shared" si="4"/>
        <v>1</v>
      </c>
      <c r="AC38" s="2667">
        <f t="shared" si="5"/>
        <v>1</v>
      </c>
    </row>
    <row r="39" spans="1:29" ht="15">
      <c r="A39" s="472"/>
      <c r="B39" s="422" t="s">
        <v>2648</v>
      </c>
      <c r="C39" s="460" t="s">
        <v>3057</v>
      </c>
      <c r="D39" s="435">
        <v>100</v>
      </c>
      <c r="E39" s="460" t="s">
        <v>3057</v>
      </c>
      <c r="F39" s="461">
        <f>SUMIF(115:115,E39,116:116)-SUMIF(115:115,C39,116:116)+100</f>
        <v>100</v>
      </c>
      <c r="G39" s="460" t="s">
        <v>3057</v>
      </c>
      <c r="H39" s="435">
        <f>SUMIF(115:115,G39,116:116)-SUMIF(115:115,C39,116:116)+100</f>
        <v>100</v>
      </c>
      <c r="I39" s="460" t="s">
        <v>3057</v>
      </c>
      <c r="J39" s="435">
        <f>SUMIF(115:115,I39,116:116)-SUMIF(115:115,C39,116:116)+100</f>
        <v>100</v>
      </c>
      <c r="K39" s="612">
        <v>1</v>
      </c>
      <c r="L39" s="1136"/>
      <c r="M39" s="1127"/>
      <c r="N39" s="1127"/>
      <c r="O39" s="1127"/>
      <c r="P39" s="3339" t="s">
        <v>2518</v>
      </c>
      <c r="Q39" s="1805" t="str">
        <f t="shared" si="11"/>
        <v>物业管理</v>
      </c>
      <c r="R39" s="774" t="s">
        <v>17</v>
      </c>
      <c r="S39" s="775">
        <f t="shared" si="12"/>
        <v>100</v>
      </c>
      <c r="T39" s="774" t="s">
        <v>17</v>
      </c>
      <c r="U39" s="775">
        <f t="shared" si="13"/>
        <v>100</v>
      </c>
      <c r="V39" s="774" t="s">
        <v>17</v>
      </c>
      <c r="W39" s="775">
        <f t="shared" si="14"/>
        <v>100</v>
      </c>
      <c r="X39" s="1808"/>
      <c r="Y39" s="3341" t="s">
        <v>2518</v>
      </c>
      <c r="Z39" s="1809" t="str">
        <f t="shared" si="15"/>
        <v>物业管理</v>
      </c>
      <c r="AA39" s="1806">
        <f t="shared" si="3"/>
        <v>1</v>
      </c>
      <c r="AB39" s="1806">
        <f t="shared" si="4"/>
        <v>1</v>
      </c>
      <c r="AC39" s="2670">
        <f t="shared" si="5"/>
        <v>1</v>
      </c>
    </row>
    <row r="40" spans="1:29" ht="15">
      <c r="A40" s="472"/>
      <c r="B40" s="422" t="s">
        <v>2616</v>
      </c>
      <c r="C40" s="460" t="s">
        <v>3059</v>
      </c>
      <c r="D40" s="435">
        <v>100</v>
      </c>
      <c r="E40" s="460" t="s">
        <v>3059</v>
      </c>
      <c r="F40" s="461">
        <f>SUMIF(117:117,E40,118:118)-SUMIF(117:117,C40,118:118)+100</f>
        <v>100</v>
      </c>
      <c r="G40" s="460" t="s">
        <v>3059</v>
      </c>
      <c r="H40" s="435">
        <f>SUMIF(117:117,G40,118:118)-SUMIF(117:117,C40,118:118)+100</f>
        <v>100</v>
      </c>
      <c r="I40" s="460" t="s">
        <v>3059</v>
      </c>
      <c r="J40" s="435">
        <f>SUMIF(117:117,I40,118:118)-SUMIF(117:117,C40,118:118)+100</f>
        <v>100</v>
      </c>
      <c r="K40" s="612">
        <v>1</v>
      </c>
      <c r="L40" s="1136"/>
      <c r="M40" s="1127"/>
      <c r="N40" s="1127"/>
      <c r="O40" s="1127"/>
      <c r="P40" s="3339"/>
      <c r="Q40" s="1805" t="str">
        <f t="shared" si="11"/>
        <v>市政基础设施</v>
      </c>
      <c r="R40" s="774" t="s">
        <v>17</v>
      </c>
      <c r="S40" s="775">
        <f t="shared" si="12"/>
        <v>100</v>
      </c>
      <c r="T40" s="774" t="s">
        <v>17</v>
      </c>
      <c r="U40" s="775">
        <f t="shared" si="13"/>
        <v>100</v>
      </c>
      <c r="V40" s="774" t="s">
        <v>17</v>
      </c>
      <c r="W40" s="775">
        <f t="shared" si="14"/>
        <v>100</v>
      </c>
      <c r="X40" s="1808"/>
      <c r="Y40" s="3341"/>
      <c r="Z40" s="1809" t="str">
        <f t="shared" si="15"/>
        <v>市政基础设施</v>
      </c>
      <c r="AA40" s="1806">
        <f t="shared" si="3"/>
        <v>1</v>
      </c>
      <c r="AB40" s="1806">
        <f t="shared" si="4"/>
        <v>1</v>
      </c>
      <c r="AC40" s="2670">
        <f t="shared" si="5"/>
        <v>1</v>
      </c>
    </row>
    <row r="41" spans="1:29" ht="15">
      <c r="A41" s="472"/>
      <c r="B41" s="422" t="s">
        <v>2618</v>
      </c>
      <c r="C41" s="616" t="s">
        <v>3061</v>
      </c>
      <c r="D41" s="435">
        <v>100</v>
      </c>
      <c r="E41" s="616" t="s">
        <v>3061</v>
      </c>
      <c r="F41" s="461">
        <f>SUMIF(119:119,E41,120:120)-SUMIF(119:119,C41,120:120)+100</f>
        <v>100</v>
      </c>
      <c r="G41" s="616" t="s">
        <v>3061</v>
      </c>
      <c r="H41" s="435">
        <f>SUMIF(119:119,G41,120:120)-SUMIF(119:119,C41,120:120)+100</f>
        <v>100</v>
      </c>
      <c r="I41" s="616" t="s">
        <v>3061</v>
      </c>
      <c r="J41" s="435">
        <f>SUMIF(119:119,I41,120:120)-SUMIF(119:119,C41,120:120)+100</f>
        <v>100</v>
      </c>
      <c r="K41" s="612">
        <v>1</v>
      </c>
      <c r="L41" s="1136"/>
      <c r="M41" s="1127"/>
      <c r="N41" s="1127"/>
      <c r="O41" s="1127"/>
      <c r="P41" s="3339"/>
      <c r="Q41" s="1805" t="str">
        <f t="shared" si="11"/>
        <v>层高</v>
      </c>
      <c r="R41" s="774" t="s">
        <v>17</v>
      </c>
      <c r="S41" s="775">
        <f t="shared" si="12"/>
        <v>100</v>
      </c>
      <c r="T41" s="774" t="s">
        <v>17</v>
      </c>
      <c r="U41" s="775">
        <f t="shared" si="13"/>
        <v>100</v>
      </c>
      <c r="V41" s="774" t="s">
        <v>17</v>
      </c>
      <c r="W41" s="775">
        <f t="shared" si="14"/>
        <v>100</v>
      </c>
      <c r="X41" s="1808"/>
      <c r="Y41" s="3341"/>
      <c r="Z41" s="1809" t="str">
        <f t="shared" si="15"/>
        <v>层高</v>
      </c>
      <c r="AA41" s="1806">
        <f t="shared" si="3"/>
        <v>1</v>
      </c>
      <c r="AB41" s="1806">
        <f t="shared" si="4"/>
        <v>1</v>
      </c>
      <c r="AC41" s="2670">
        <f t="shared" si="5"/>
        <v>1</v>
      </c>
    </row>
    <row r="42" spans="1:29" s="471" customFormat="1" ht="15">
      <c r="A42" s="468"/>
      <c r="B42" s="1807" t="s">
        <v>2649</v>
      </c>
      <c r="C42" s="434" t="s">
        <v>3049</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4"/>
      <c r="M42" s="1137"/>
      <c r="N42" s="1137"/>
      <c r="O42" s="1137"/>
      <c r="P42" s="3339"/>
      <c r="Q42" s="776" t="str">
        <f t="shared" si="11"/>
        <v>单套建筑面积</v>
      </c>
      <c r="R42" s="777" t="s">
        <v>17</v>
      </c>
      <c r="S42" s="778">
        <f t="shared" si="12"/>
        <v>100</v>
      </c>
      <c r="T42" s="777" t="s">
        <v>17</v>
      </c>
      <c r="U42" s="778">
        <f t="shared" si="13"/>
        <v>100</v>
      </c>
      <c r="V42" s="777" t="s">
        <v>17</v>
      </c>
      <c r="W42" s="778">
        <f t="shared" si="14"/>
        <v>100</v>
      </c>
      <c r="X42" s="779"/>
      <c r="Y42" s="3341"/>
      <c r="Z42" s="780" t="str">
        <f t="shared" si="15"/>
        <v>单套建筑面积</v>
      </c>
      <c r="AA42" s="1806">
        <f t="shared" si="3"/>
        <v>1</v>
      </c>
      <c r="AB42" s="1806">
        <f t="shared" si="4"/>
        <v>1</v>
      </c>
      <c r="AC42" s="2670">
        <f t="shared" si="5"/>
        <v>1</v>
      </c>
    </row>
    <row r="43" spans="1:29" ht="15">
      <c r="A43" s="472"/>
      <c r="B43" s="422" t="s">
        <v>2621</v>
      </c>
      <c r="C43" s="460" t="s">
        <v>3063</v>
      </c>
      <c r="D43" s="435">
        <v>100</v>
      </c>
      <c r="E43" s="460" t="s">
        <v>3063</v>
      </c>
      <c r="F43" s="461">
        <f>SUMIF(123:123,E43,124:124)-SUMIF(123:123,C43,124:124)+100</f>
        <v>100</v>
      </c>
      <c r="G43" s="460" t="s">
        <v>3063</v>
      </c>
      <c r="H43" s="435">
        <f>SUMIF(123:123,G43,124:124)-SUMIF(123:123,C43,124:124)+100</f>
        <v>100</v>
      </c>
      <c r="I43" s="460" t="s">
        <v>3063</v>
      </c>
      <c r="J43" s="435">
        <f>SUMIF(123:123,I43,124:124)-SUMIF(123:123,C43,124:124)+100</f>
        <v>100</v>
      </c>
      <c r="K43" s="612">
        <v>1</v>
      </c>
      <c r="L43" s="1136"/>
      <c r="M43" s="1127"/>
      <c r="N43" s="1127"/>
      <c r="O43" s="1127"/>
      <c r="P43" s="3339"/>
      <c r="Q43" s="1805" t="str">
        <f t="shared" si="11"/>
        <v>内部装修</v>
      </c>
      <c r="R43" s="774" t="s">
        <v>17</v>
      </c>
      <c r="S43" s="775">
        <f t="shared" si="12"/>
        <v>100</v>
      </c>
      <c r="T43" s="774" t="s">
        <v>17</v>
      </c>
      <c r="U43" s="775">
        <f t="shared" si="13"/>
        <v>100</v>
      </c>
      <c r="V43" s="774" t="s">
        <v>17</v>
      </c>
      <c r="W43" s="775">
        <f t="shared" si="14"/>
        <v>100</v>
      </c>
      <c r="X43" s="1808"/>
      <c r="Y43" s="3341"/>
      <c r="Z43" s="1809" t="str">
        <f t="shared" si="15"/>
        <v>内部装修</v>
      </c>
      <c r="AA43" s="1806">
        <f t="shared" si="3"/>
        <v>1</v>
      </c>
      <c r="AB43" s="1806">
        <f t="shared" si="4"/>
        <v>1</v>
      </c>
      <c r="AC43" s="2670">
        <f t="shared" si="5"/>
        <v>1</v>
      </c>
    </row>
    <row r="44" spans="1:29" ht="15">
      <c r="A44" s="472"/>
      <c r="B44" s="422" t="s">
        <v>2529</v>
      </c>
      <c r="C44" s="460" t="s">
        <v>3065</v>
      </c>
      <c r="D44" s="435">
        <v>100</v>
      </c>
      <c r="E44" s="2609" t="s">
        <v>3065</v>
      </c>
      <c r="F44" s="461">
        <f>SUMIF(125:125,E44,126:126)-SUMIF(125:125,C44,126:126)+100</f>
        <v>100</v>
      </c>
      <c r="G44" s="2609" t="s">
        <v>3065</v>
      </c>
      <c r="H44" s="435">
        <f>SUMIF(125:125,G44,126:126)-SUMIF(125:125,C44,126:126)+100</f>
        <v>100</v>
      </c>
      <c r="I44" s="2609" t="s">
        <v>3065</v>
      </c>
      <c r="J44" s="435">
        <f>SUMIF(125:125,I44,126:126)-SUMIF(125:125,C44,126:126)+100</f>
        <v>100</v>
      </c>
      <c r="K44" s="612">
        <v>1</v>
      </c>
      <c r="L44" s="1136"/>
      <c r="M44" s="1127"/>
      <c r="N44" s="1127"/>
      <c r="O44" s="1127"/>
      <c r="P44" s="3339"/>
      <c r="Q44" s="1805" t="str">
        <f t="shared" si="11"/>
        <v>内部装修维护情况</v>
      </c>
      <c r="R44" s="774" t="s">
        <v>17</v>
      </c>
      <c r="S44" s="775">
        <f t="shared" si="12"/>
        <v>100</v>
      </c>
      <c r="T44" s="774" t="s">
        <v>17</v>
      </c>
      <c r="U44" s="775">
        <f t="shared" si="13"/>
        <v>100</v>
      </c>
      <c r="V44" s="774" t="s">
        <v>17</v>
      </c>
      <c r="W44" s="775">
        <f t="shared" si="14"/>
        <v>100</v>
      </c>
      <c r="X44" s="1808"/>
      <c r="Y44" s="3341"/>
      <c r="Z44" s="1809" t="str">
        <f t="shared" si="15"/>
        <v>内部装修维护情况</v>
      </c>
      <c r="AA44" s="1806">
        <f t="shared" si="3"/>
        <v>1</v>
      </c>
      <c r="AB44" s="1806">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39"/>
      <c r="Q45" s="1790">
        <f t="shared" si="11"/>
        <v>0</v>
      </c>
      <c r="R45" s="770" t="s">
        <v>17</v>
      </c>
      <c r="S45" s="771">
        <f t="shared" si="12"/>
        <v>100</v>
      </c>
      <c r="T45" s="770" t="s">
        <v>17</v>
      </c>
      <c r="U45" s="771">
        <f t="shared" si="13"/>
        <v>100</v>
      </c>
      <c r="V45" s="770" t="s">
        <v>17</v>
      </c>
      <c r="W45" s="771">
        <f t="shared" si="14"/>
        <v>100</v>
      </c>
      <c r="X45" s="772"/>
      <c r="Y45" s="3341"/>
      <c r="Z45" s="55">
        <f t="shared" si="15"/>
        <v>0</v>
      </c>
      <c r="AA45" s="773">
        <f t="shared" si="3"/>
        <v>1</v>
      </c>
      <c r="AB45" s="773">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39"/>
      <c r="Q46" s="1805">
        <f t="shared" si="11"/>
        <v>0</v>
      </c>
      <c r="R46" s="774" t="s">
        <v>17</v>
      </c>
      <c r="S46" s="775">
        <f t="shared" si="12"/>
        <v>100</v>
      </c>
      <c r="T46" s="774" t="s">
        <v>17</v>
      </c>
      <c r="U46" s="775">
        <f t="shared" si="13"/>
        <v>100</v>
      </c>
      <c r="V46" s="774" t="s">
        <v>17</v>
      </c>
      <c r="W46" s="775">
        <f t="shared" si="14"/>
        <v>100</v>
      </c>
      <c r="X46" s="1808"/>
      <c r="Y46" s="3341"/>
      <c r="Z46" s="1809">
        <f t="shared" si="15"/>
        <v>0</v>
      </c>
      <c r="AA46" s="1806">
        <f t="shared" si="3"/>
        <v>1</v>
      </c>
      <c r="AB46" s="1806">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40"/>
      <c r="Q47" s="1805">
        <f t="shared" si="11"/>
        <v>0</v>
      </c>
      <c r="R47" s="774" t="s">
        <v>17</v>
      </c>
      <c r="S47" s="775">
        <f t="shared" si="12"/>
        <v>100</v>
      </c>
      <c r="T47" s="774" t="s">
        <v>17</v>
      </c>
      <c r="U47" s="775">
        <f t="shared" si="13"/>
        <v>100</v>
      </c>
      <c r="V47" s="774" t="s">
        <v>17</v>
      </c>
      <c r="W47" s="775">
        <f t="shared" si="14"/>
        <v>100</v>
      </c>
      <c r="X47" s="1808"/>
      <c r="Y47" s="3342"/>
      <c r="Z47" s="1809">
        <f t="shared" si="15"/>
        <v>0</v>
      </c>
      <c r="AA47" s="1806">
        <f t="shared" si="3"/>
        <v>1</v>
      </c>
      <c r="AB47" s="1806">
        <f t="shared" si="4"/>
        <v>1</v>
      </c>
      <c r="AC47" s="2670">
        <f t="shared" si="5"/>
        <v>1</v>
      </c>
    </row>
    <row r="48" spans="1:29" ht="15">
      <c r="A48" s="479" t="s">
        <v>2530</v>
      </c>
      <c r="B48" s="480"/>
      <c r="C48" s="1403" t="s">
        <v>1</v>
      </c>
      <c r="D48" s="1404"/>
      <c r="E48" s="1405">
        <v>35000</v>
      </c>
      <c r="F48" s="1406"/>
      <c r="G48" s="1407">
        <v>35000</v>
      </c>
      <c r="H48" s="1408"/>
      <c r="I48" s="1405">
        <v>32000</v>
      </c>
      <c r="J48" s="485"/>
      <c r="K48" s="783"/>
      <c r="L48" s="1139"/>
      <c r="M48" s="1127"/>
      <c r="N48" s="1127"/>
      <c r="O48" s="1127"/>
      <c r="P48" s="3316" t="str">
        <f>A48</f>
        <v>成交单价（元/平方米）</v>
      </c>
      <c r="Q48" s="3334"/>
      <c r="R48" s="3335">
        <f>E48</f>
        <v>35000</v>
      </c>
      <c r="S48" s="3335"/>
      <c r="T48" s="3335">
        <f>G48</f>
        <v>35000</v>
      </c>
      <c r="U48" s="3335"/>
      <c r="V48" s="3335">
        <f>I48</f>
        <v>32000</v>
      </c>
      <c r="W48" s="3335"/>
      <c r="X48" s="446"/>
      <c r="Y48" s="781"/>
      <c r="Z48" s="446"/>
      <c r="AA48" s="446"/>
      <c r="AB48" s="446"/>
      <c r="AC48" s="630"/>
    </row>
    <row r="49" spans="1:29" ht="15.75" thickBot="1">
      <c r="A49" s="486" t="s">
        <v>2622</v>
      </c>
      <c r="B49" s="487"/>
      <c r="C49" s="1409">
        <f>R50</f>
        <v>33774</v>
      </c>
      <c r="D49" s="1410"/>
      <c r="E49" s="1411">
        <f>R49</f>
        <v>34660</v>
      </c>
      <c r="F49" s="1411"/>
      <c r="G49" s="1409">
        <f>T49</f>
        <v>34660</v>
      </c>
      <c r="H49" s="1410"/>
      <c r="I49" s="1411">
        <f>V49</f>
        <v>32003</v>
      </c>
      <c r="J49" s="489"/>
      <c r="K49" s="784"/>
      <c r="L49" s="1139"/>
      <c r="M49" s="1127"/>
      <c r="N49" s="1127"/>
      <c r="O49" s="1127"/>
      <c r="P49" s="3316" t="str">
        <f>A49</f>
        <v>比较价值（元/平方米）</v>
      </c>
      <c r="Q49" s="3334"/>
      <c r="R49" s="3335">
        <f>IF(F1="售价",ROUND(PRODUCT(R48,AA7:AA47),0),ROUND(PRODUCT(R48,AA7:AA47),1))</f>
        <v>34660</v>
      </c>
      <c r="S49" s="3335"/>
      <c r="T49" s="3335">
        <f>IF(F1="售价",ROUND(PRODUCT(T48,AB7:AB47),0),ROUND(PRODUCT(T48,AB7:AB47),1))</f>
        <v>34660</v>
      </c>
      <c r="U49" s="3335"/>
      <c r="V49" s="3335">
        <f>IF(F1="售价",ROUND(PRODUCT(V48,AC7:AC47),0),ROUND(PRODUCT(V48,AC7:AC47),1))</f>
        <v>32003</v>
      </c>
      <c r="W49" s="3335"/>
      <c r="X49" s="446"/>
      <c r="Y49" s="446"/>
      <c r="Z49" s="446"/>
      <c r="AA49" s="446"/>
      <c r="AB49" s="446"/>
      <c r="AC49" s="630"/>
    </row>
    <row r="50" spans="1:29" ht="15.75" thickBot="1">
      <c r="A50" s="492" t="s">
        <v>3066</v>
      </c>
      <c r="B50" s="493"/>
      <c r="C50" s="1413">
        <f>R50</f>
        <v>33774</v>
      </c>
      <c r="D50" s="1413"/>
      <c r="E50" s="1413"/>
      <c r="F50" s="1413"/>
      <c r="G50" s="1413"/>
      <c r="H50" s="1413"/>
      <c r="I50" s="1413"/>
      <c r="J50" s="494"/>
      <c r="K50" s="785"/>
      <c r="L50" s="1139"/>
      <c r="M50" s="1127"/>
      <c r="N50" s="1127"/>
      <c r="O50" s="1127"/>
      <c r="P50" s="3383" t="str">
        <f>A50</f>
        <v>估价对象办公用房的比较价值（楼面单价，元/平方米）</v>
      </c>
      <c r="Q50" s="3384"/>
      <c r="R50" s="3385">
        <f>IF(F1="售价",ROUND(AVERAGE(R49:V49),0),ROUND(AVERAGE(R49:V49),1))</f>
        <v>33774</v>
      </c>
      <c r="S50" s="3385"/>
      <c r="T50" s="3385"/>
      <c r="U50" s="3385"/>
      <c r="V50" s="3385"/>
      <c r="W50" s="3385"/>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f>IF(E48&lt;E49,E49/E48-1,E48/E49-1)</f>
        <v>9.8095787651470978E-3</v>
      </c>
      <c r="F53" s="500" t="str">
        <f>IF(OR(E53&gt;=0.3,E53&lt;=-0.3),"超过30%","")</f>
        <v/>
      </c>
      <c r="G53" s="499">
        <f>IF(G48&lt;G49,G49/G48-1,G48/G49-1)</f>
        <v>9.8095787651470978E-3</v>
      </c>
      <c r="H53" s="500" t="str">
        <f>IF(OR(G53&gt;=0.3,G53&lt;=-0.3),"超过30%","")</f>
        <v/>
      </c>
      <c r="I53" s="499">
        <f>IF(I48&lt;I49,I49/I48-1,I48/I49-1)</f>
        <v>9.3750000000003553E-5</v>
      </c>
      <c r="J53" s="500" t="str">
        <f>IF(OR(I53&gt;=0.3,I53&lt;=-0.3),"超过30%","")</f>
        <v/>
      </c>
      <c r="K53" s="1101"/>
      <c r="L53" s="1102"/>
      <c r="M53" s="1140"/>
      <c r="N53" s="1140"/>
      <c r="O53" s="1140"/>
    </row>
    <row r="54" spans="1:29" ht="13.5" customHeight="1">
      <c r="A54" s="1140"/>
      <c r="B54" s="1140"/>
      <c r="C54" s="497" t="s">
        <v>2625</v>
      </c>
      <c r="D54" s="501"/>
      <c r="E54" s="499">
        <f>IF(E49&lt;G49,G49/E49-1,E49/G49-1)</f>
        <v>0</v>
      </c>
      <c r="F54" s="500" t="str">
        <f>IF(OR(E54&gt;=0.2,E54&lt;=-0.2),"超过20%","")</f>
        <v/>
      </c>
      <c r="G54" s="499">
        <f>IF(G49&lt;I49,I49/G49-1,G49/I49-1)</f>
        <v>8.3023466550010916E-2</v>
      </c>
      <c r="H54" s="500" t="str">
        <f>IF(OR(G54&gt;=0.2,G54&lt;=-0.2),"超过20%","")</f>
        <v/>
      </c>
      <c r="I54" s="499">
        <f>IF(I49&lt;E49,E49/I49-1,I49/E49-1)</f>
        <v>8.3023466550010916E-2</v>
      </c>
      <c r="J54" s="500" t="str">
        <f>IF(OR(I54&gt;=0.2,I54&lt;=-0.2),"超过20%","")</f>
        <v/>
      </c>
      <c r="K54" s="1101"/>
      <c r="L54" s="1102"/>
      <c r="M54" s="1140"/>
      <c r="N54" s="1140"/>
      <c r="O54" s="1140"/>
    </row>
    <row r="55" spans="1:29" s="502" customFormat="1" ht="13.5" customHeight="1">
      <c r="A55" s="1141"/>
      <c r="B55" s="1141"/>
      <c r="C55" s="497" t="s">
        <v>2626</v>
      </c>
      <c r="D55" s="501"/>
      <c r="E55" s="499">
        <f>IF(E48&lt;G48,G48/E48-1,E48/G48-1)</f>
        <v>0</v>
      </c>
      <c r="F55" s="500" t="str">
        <f>IF(OR(E55&gt;=0.3,E55&lt;=-0.3),"超过30%","")</f>
        <v/>
      </c>
      <c r="G55" s="499">
        <f>IF(G48&lt;I48,I48/G48-1,G48/I48-1)</f>
        <v>9.375E-2</v>
      </c>
      <c r="H55" s="500" t="str">
        <f>IF(OR(G55&gt;=0.3,G55&lt;=-0.3),"超过30%","")</f>
        <v/>
      </c>
      <c r="I55" s="499">
        <f>IF(I48&lt;E48,E48/I48-1,I48/E48-1)</f>
        <v>9.375E-2</v>
      </c>
      <c r="J55" s="500" t="str">
        <f>IF(OR(I55&gt;=0.3,I55&lt;=-0.3),"超过30%","")</f>
        <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3" t="s">
        <v>2627</v>
      </c>
      <c r="B58" s="759"/>
      <c r="C58" s="764"/>
      <c r="D58" s="764"/>
      <c r="E58" s="764"/>
      <c r="F58" s="765"/>
      <c r="G58" s="765"/>
      <c r="H58" s="764"/>
      <c r="I58" s="764"/>
      <c r="J58" s="764"/>
      <c r="K58" s="766"/>
      <c r="L58" s="1157"/>
      <c r="M58" s="1155"/>
      <c r="N58" s="1155"/>
      <c r="O58" s="1155"/>
      <c r="P58" s="2677"/>
      <c r="Q58" s="504"/>
    </row>
    <row r="59" spans="1:29" s="508" customFormat="1" ht="15">
      <c r="A59" s="505" t="s">
        <v>2501</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ht="15">
      <c r="A60" s="509"/>
      <c r="B60" s="510"/>
      <c r="C60" s="1568">
        <v>100</v>
      </c>
      <c r="D60" s="512"/>
      <c r="E60" s="512"/>
      <c r="F60" s="512"/>
      <c r="G60" s="512"/>
      <c r="H60" s="512"/>
      <c r="I60" s="512"/>
      <c r="J60" s="512"/>
      <c r="K60" s="512"/>
      <c r="L60" s="512"/>
      <c r="M60" s="513"/>
      <c r="N60" s="512"/>
      <c r="O60" s="513"/>
      <c r="P60" s="2678"/>
    </row>
    <row r="61" spans="1:29" s="117" customFormat="1" ht="15.75" thickBot="1">
      <c r="A61" s="515" t="s">
        <v>2538</v>
      </c>
      <c r="B61" s="516"/>
      <c r="C61" s="517"/>
      <c r="D61" s="518"/>
      <c r="E61" s="518"/>
      <c r="F61" s="518"/>
      <c r="G61" s="518"/>
      <c r="H61" s="518"/>
      <c r="I61" s="518"/>
      <c r="J61" s="518"/>
      <c r="K61" s="518"/>
      <c r="L61" s="518"/>
      <c r="M61" s="519"/>
      <c r="N61" s="518"/>
      <c r="O61" s="519"/>
      <c r="P61" s="2678"/>
      <c r="Q61" s="504"/>
    </row>
    <row r="62" spans="1:29" s="117" customFormat="1" ht="15">
      <c r="A62" s="521" t="s">
        <v>2503</v>
      </c>
      <c r="B62" s="510"/>
      <c r="C62" s="522" t="s">
        <v>2605</v>
      </c>
      <c r="D62" s="523"/>
      <c r="E62" s="523"/>
      <c r="F62" s="523"/>
      <c r="G62" s="523"/>
      <c r="H62" s="523"/>
      <c r="I62" s="523"/>
      <c r="J62" s="523"/>
      <c r="K62" s="523"/>
      <c r="L62" s="524"/>
      <c r="M62" s="525"/>
      <c r="N62" s="1147"/>
      <c r="O62" s="1147"/>
      <c r="P62" s="2679"/>
      <c r="Q62" s="504"/>
    </row>
    <row r="63" spans="1:29" s="117" customFormat="1" ht="15.75" thickBot="1">
      <c r="A63" s="521"/>
      <c r="B63" s="510"/>
      <c r="C63" s="511">
        <v>100</v>
      </c>
      <c r="D63" s="512"/>
      <c r="E63" s="512"/>
      <c r="F63" s="512"/>
      <c r="G63" s="512"/>
      <c r="H63" s="512"/>
      <c r="I63" s="512"/>
      <c r="J63" s="512"/>
      <c r="K63" s="512"/>
      <c r="L63" s="512"/>
      <c r="M63" s="514"/>
      <c r="N63" s="1147"/>
      <c r="O63" s="1147"/>
      <c r="P63" s="2678"/>
      <c r="Q63" s="504"/>
    </row>
    <row r="64" spans="1:29">
      <c r="A64" s="527" t="s">
        <v>2541</v>
      </c>
      <c r="B64" s="528" t="s">
        <v>2507</v>
      </c>
      <c r="C64" s="529" t="str">
        <f>C9</f>
        <v>办公</v>
      </c>
      <c r="D64" s="530"/>
      <c r="E64" s="530"/>
      <c r="F64" s="530"/>
      <c r="G64" s="530"/>
      <c r="H64" s="530"/>
      <c r="I64" s="530"/>
      <c r="J64" s="530"/>
      <c r="K64" s="531"/>
      <c r="L64" s="532"/>
      <c r="M64" s="533"/>
      <c r="N64" s="1148"/>
      <c r="O64" s="1148"/>
      <c r="P64" s="2680"/>
      <c r="Q64" s="504"/>
    </row>
    <row r="65" spans="1:17" ht="15.75" thickBot="1">
      <c r="A65" s="534"/>
      <c r="B65" s="535"/>
      <c r="C65" s="536">
        <v>100</v>
      </c>
      <c r="D65" s="536"/>
      <c r="E65" s="536"/>
      <c r="F65" s="536"/>
      <c r="G65" s="536"/>
      <c r="H65" s="536"/>
      <c r="I65" s="536"/>
      <c r="J65" s="536"/>
      <c r="K65" s="536"/>
      <c r="L65" s="536"/>
      <c r="M65" s="537"/>
      <c r="N65" s="1149"/>
      <c r="O65" s="1149"/>
      <c r="P65" s="2680"/>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80"/>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ht="15">
      <c r="A69" s="534"/>
      <c r="B69" s="548"/>
      <c r="C69" s="549" t="s">
        <v>3049</v>
      </c>
      <c r="D69" s="549"/>
      <c r="E69" s="549"/>
      <c r="F69" s="549"/>
      <c r="G69" s="549"/>
      <c r="H69" s="549"/>
      <c r="I69" s="549"/>
      <c r="J69" s="549"/>
      <c r="K69" s="550"/>
      <c r="L69" s="551"/>
      <c r="M69" s="552"/>
      <c r="N69" s="1148"/>
      <c r="O69" s="1148"/>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9"/>
      <c r="O70" s="1149"/>
      <c r="P70" s="2680"/>
      <c r="Q70" s="504"/>
    </row>
    <row r="71" spans="1:17" s="471" customFormat="1" ht="15.75" thickTop="1">
      <c r="A71" s="553"/>
      <c r="B71" s="538">
        <f>B12</f>
        <v>0</v>
      </c>
      <c r="C71" s="554"/>
      <c r="D71" s="554"/>
      <c r="E71" s="554"/>
      <c r="F71" s="554"/>
      <c r="G71" s="554"/>
      <c r="H71" s="555"/>
      <c r="I71" s="555"/>
      <c r="J71" s="555"/>
      <c r="K71" s="555"/>
      <c r="L71" s="556"/>
      <c r="M71" s="557"/>
      <c r="N71" s="1150"/>
      <c r="O71" s="1150"/>
      <c r="P71" s="2681"/>
      <c r="Q71" s="559"/>
    </row>
    <row r="72" spans="1:17" s="471" customFormat="1" ht="15.75" thickBot="1">
      <c r="A72" s="553"/>
      <c r="B72" s="543"/>
      <c r="C72" s="560"/>
      <c r="D72" s="536"/>
      <c r="E72" s="536"/>
      <c r="F72" s="536"/>
      <c r="G72" s="536"/>
      <c r="H72" s="536"/>
      <c r="I72" s="536"/>
      <c r="J72" s="536"/>
      <c r="K72" s="536"/>
      <c r="L72" s="536"/>
      <c r="M72" s="537"/>
      <c r="N72" s="1149"/>
      <c r="O72" s="1149"/>
      <c r="P72" s="2681"/>
      <c r="Q72" s="559"/>
    </row>
    <row r="73" spans="1:17" s="471" customFormat="1" ht="15.75" thickTop="1">
      <c r="A73" s="553"/>
      <c r="B73" s="538">
        <f>B13</f>
        <v>0</v>
      </c>
      <c r="C73" s="554"/>
      <c r="D73" s="554"/>
      <c r="E73" s="554"/>
      <c r="F73" s="554"/>
      <c r="G73" s="554"/>
      <c r="H73" s="555"/>
      <c r="I73" s="555"/>
      <c r="J73" s="555"/>
      <c r="K73" s="555"/>
      <c r="L73" s="556"/>
      <c r="M73" s="557"/>
      <c r="N73" s="1150"/>
      <c r="O73" s="1150"/>
      <c r="P73" s="2682"/>
      <c r="Q73" s="561"/>
    </row>
    <row r="74" spans="1:17" s="471" customFormat="1" ht="15.75" thickBot="1">
      <c r="A74" s="553"/>
      <c r="B74" s="543"/>
      <c r="C74" s="560"/>
      <c r="D74" s="560"/>
      <c r="E74" s="560"/>
      <c r="F74" s="560"/>
      <c r="G74" s="560"/>
      <c r="H74" s="562"/>
      <c r="I74" s="562"/>
      <c r="J74" s="562"/>
      <c r="K74" s="562"/>
      <c r="L74" s="562"/>
      <c r="M74" s="563"/>
      <c r="N74" s="1150"/>
      <c r="O74" s="1150"/>
      <c r="P74" s="2681"/>
      <c r="Q74" s="559"/>
    </row>
    <row r="75" spans="1:17" s="471" customFormat="1" ht="15.75" thickTop="1">
      <c r="A75" s="553"/>
      <c r="B75" s="546">
        <f>B14</f>
        <v>0</v>
      </c>
      <c r="C75" s="523"/>
      <c r="D75" s="523"/>
      <c r="E75" s="523"/>
      <c r="F75" s="523"/>
      <c r="G75" s="523"/>
      <c r="H75" s="564"/>
      <c r="I75" s="564"/>
      <c r="J75" s="564"/>
      <c r="K75" s="564"/>
      <c r="L75" s="565"/>
      <c r="M75" s="566"/>
      <c r="N75" s="1150"/>
      <c r="O75" s="1150"/>
      <c r="P75" s="2683"/>
      <c r="Q75" s="559"/>
    </row>
    <row r="76" spans="1:17" s="471" customFormat="1" ht="15.75" thickBot="1">
      <c r="A76" s="568"/>
      <c r="B76" s="569"/>
      <c r="C76" s="570"/>
      <c r="D76" s="570"/>
      <c r="E76" s="570"/>
      <c r="F76" s="570"/>
      <c r="G76" s="570"/>
      <c r="H76" s="571"/>
      <c r="I76" s="571"/>
      <c r="J76" s="571"/>
      <c r="K76" s="571"/>
      <c r="L76" s="571"/>
      <c r="M76" s="572"/>
      <c r="N76" s="1150"/>
      <c r="O76" s="1150"/>
      <c r="P76" s="2681"/>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49"/>
      <c r="O78" s="1149"/>
      <c r="P78" s="2680"/>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49"/>
      <c r="O80" s="1149"/>
      <c r="P80" s="2680"/>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49"/>
      <c r="O82" s="1149"/>
      <c r="P82" s="2680"/>
      <c r="Q82" s="504"/>
    </row>
    <row r="83" spans="1:17" ht="15.75" thickTop="1">
      <c r="A83" s="534"/>
      <c r="B83" s="546" t="s">
        <v>2642</v>
      </c>
      <c r="C83" s="660" t="s">
        <v>2628</v>
      </c>
      <c r="D83" s="660" t="s">
        <v>2629</v>
      </c>
      <c r="E83" s="660" t="s">
        <v>2630</v>
      </c>
      <c r="F83" s="660" t="s">
        <v>2631</v>
      </c>
      <c r="G83" s="660" t="s">
        <v>2632</v>
      </c>
      <c r="H83" s="539"/>
      <c r="I83" s="539"/>
      <c r="J83" s="539"/>
      <c r="K83" s="539"/>
      <c r="L83" s="539"/>
      <c r="M83" s="1378"/>
      <c r="N83" s="1149"/>
      <c r="O83" s="1149"/>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9"/>
      <c r="O84" s="1149"/>
      <c r="P84" s="2680"/>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49"/>
      <c r="O86" s="1149"/>
      <c r="P86" s="2680"/>
      <c r="Q86" s="504"/>
    </row>
    <row r="87" spans="1:17" s="117" customFormat="1" ht="27.75" thickTop="1">
      <c r="A87" s="579"/>
      <c r="B87" s="538" t="s">
        <v>2652</v>
      </c>
      <c r="C87" s="2970" t="s">
        <v>3373</v>
      </c>
      <c r="D87" s="554"/>
      <c r="E87" s="554"/>
      <c r="F87" s="554"/>
      <c r="G87" s="554"/>
      <c r="H87" s="554"/>
      <c r="I87" s="554"/>
      <c r="J87" s="554"/>
      <c r="K87" s="554"/>
      <c r="L87" s="580"/>
      <c r="M87" s="581"/>
      <c r="N87" s="1147"/>
      <c r="O87" s="1147"/>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80"/>
      <c r="Q88" s="504"/>
    </row>
    <row r="89" spans="1:17" s="117" customFormat="1" ht="15.75" thickTop="1">
      <c r="A89" s="579"/>
      <c r="B89" s="538" t="str">
        <f>B27</f>
        <v>楼层</v>
      </c>
      <c r="C89" s="2970" t="s">
        <v>3368</v>
      </c>
      <c r="D89" s="2970" t="s">
        <v>3370</v>
      </c>
      <c r="E89" s="2970" t="s">
        <v>3372</v>
      </c>
      <c r="F89" s="2631"/>
      <c r="G89" s="554"/>
      <c r="H89" s="554"/>
      <c r="I89" s="554"/>
      <c r="J89" s="554"/>
      <c r="K89" s="554"/>
      <c r="L89" s="554"/>
      <c r="M89" s="581"/>
      <c r="N89" s="1147"/>
      <c r="O89" s="1147"/>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49"/>
      <c r="O90" s="1149"/>
      <c r="P90" s="2680"/>
      <c r="Q90" s="504"/>
    </row>
    <row r="91" spans="1:17" s="471" customFormat="1" ht="15.75" thickTop="1">
      <c r="A91" s="553"/>
      <c r="B91" s="538" t="str">
        <f>B28</f>
        <v>朝向</v>
      </c>
      <c r="C91" s="554" t="s">
        <v>3049</v>
      </c>
      <c r="D91" s="554"/>
      <c r="E91" s="554"/>
      <c r="F91" s="554"/>
      <c r="G91" s="554"/>
      <c r="H91" s="555"/>
      <c r="I91" s="555"/>
      <c r="J91" s="555"/>
      <c r="K91" s="555"/>
      <c r="L91" s="556"/>
      <c r="M91" s="557"/>
      <c r="N91" s="1150"/>
      <c r="O91" s="1150"/>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0"/>
      <c r="O92" s="1150"/>
      <c r="P92" s="2681"/>
      <c r="Q92" s="559"/>
    </row>
    <row r="93" spans="1:17" ht="15.75" thickTop="1">
      <c r="A93" s="534"/>
      <c r="B93" s="538">
        <f>B29</f>
        <v>0</v>
      </c>
      <c r="C93" s="554"/>
      <c r="D93" s="554"/>
      <c r="E93" s="554"/>
      <c r="F93" s="554"/>
      <c r="G93" s="554"/>
      <c r="H93" s="554"/>
      <c r="I93" s="554"/>
      <c r="J93" s="554"/>
      <c r="K93" s="554"/>
      <c r="L93" s="580"/>
      <c r="M93" s="581"/>
      <c r="N93" s="1148"/>
      <c r="O93" s="1148"/>
      <c r="P93" s="2680"/>
      <c r="Q93" s="504"/>
    </row>
    <row r="94" spans="1:17" ht="15.75" thickBot="1">
      <c r="A94" s="534"/>
      <c r="B94" s="543"/>
      <c r="C94" s="560"/>
      <c r="D94" s="536"/>
      <c r="E94" s="536"/>
      <c r="F94" s="536"/>
      <c r="G94" s="536"/>
      <c r="H94" s="536"/>
      <c r="I94" s="536"/>
      <c r="J94" s="536"/>
      <c r="K94" s="536"/>
      <c r="L94" s="536"/>
      <c r="M94" s="537"/>
      <c r="N94" s="1149"/>
      <c r="O94" s="1149"/>
      <c r="P94" s="2680"/>
      <c r="Q94" s="504"/>
    </row>
    <row r="95" spans="1:17" ht="15.75" thickTop="1">
      <c r="A95" s="534"/>
      <c r="B95" s="538">
        <f>B30</f>
        <v>0</v>
      </c>
      <c r="C95" s="554"/>
      <c r="D95" s="554"/>
      <c r="E95" s="554"/>
      <c r="F95" s="554"/>
      <c r="G95" s="583"/>
      <c r="H95" s="583"/>
      <c r="I95" s="583"/>
      <c r="J95" s="583"/>
      <c r="K95" s="584"/>
      <c r="L95" s="585"/>
      <c r="M95" s="586"/>
      <c r="N95" s="1148"/>
      <c r="O95" s="1148"/>
      <c r="P95" s="2680"/>
      <c r="Q95" s="504"/>
    </row>
    <row r="96" spans="1:17" ht="15.75" thickBot="1">
      <c r="A96" s="534"/>
      <c r="B96" s="543"/>
      <c r="C96" s="560"/>
      <c r="D96" s="560"/>
      <c r="E96" s="560"/>
      <c r="F96" s="560"/>
      <c r="G96" s="536"/>
      <c r="H96" s="536"/>
      <c r="I96" s="536"/>
      <c r="J96" s="536"/>
      <c r="K96" s="536"/>
      <c r="L96" s="536"/>
      <c r="M96" s="537"/>
      <c r="N96" s="1149"/>
      <c r="O96" s="1149"/>
      <c r="P96" s="2680"/>
      <c r="Q96" s="504"/>
    </row>
    <row r="97" spans="1:17" ht="15.75" thickTop="1">
      <c r="A97" s="534"/>
      <c r="B97" s="538">
        <f>B31</f>
        <v>0</v>
      </c>
      <c r="C97" s="554"/>
      <c r="D97" s="554"/>
      <c r="E97" s="554"/>
      <c r="F97" s="554"/>
      <c r="G97" s="583"/>
      <c r="H97" s="583"/>
      <c r="I97" s="583"/>
      <c r="J97" s="583"/>
      <c r="K97" s="584"/>
      <c r="L97" s="585"/>
      <c r="M97" s="586"/>
      <c r="N97" s="1148"/>
      <c r="O97" s="1148"/>
      <c r="P97" s="2680"/>
      <c r="Q97" s="504"/>
    </row>
    <row r="98" spans="1:17" ht="15.75" thickBot="1">
      <c r="A98" s="534"/>
      <c r="B98" s="543"/>
      <c r="C98" s="560"/>
      <c r="D98" s="536"/>
      <c r="E98" s="536"/>
      <c r="F98" s="536"/>
      <c r="G98" s="536"/>
      <c r="H98" s="536"/>
      <c r="I98" s="536"/>
      <c r="J98" s="536"/>
      <c r="K98" s="536"/>
      <c r="L98" s="536"/>
      <c r="M98" s="537"/>
      <c r="N98" s="1149"/>
      <c r="O98" s="1149"/>
      <c r="P98" s="2680"/>
      <c r="Q98" s="504"/>
    </row>
    <row r="99" spans="1:17" ht="15.75" thickTop="1">
      <c r="A99" s="534"/>
      <c r="B99" s="546">
        <f>B32</f>
        <v>0</v>
      </c>
      <c r="C99" s="523"/>
      <c r="D99" s="523"/>
      <c r="E99" s="523"/>
      <c r="F99" s="523"/>
      <c r="G99" s="587"/>
      <c r="H99" s="587"/>
      <c r="I99" s="587"/>
      <c r="J99" s="587"/>
      <c r="K99" s="588"/>
      <c r="L99" s="589"/>
      <c r="M99" s="590"/>
      <c r="N99" s="1148"/>
      <c r="O99" s="1148"/>
      <c r="P99" s="2680"/>
      <c r="Q99" s="504"/>
    </row>
    <row r="100" spans="1:17" ht="15.75" thickBot="1">
      <c r="A100" s="2632"/>
      <c r="B100" s="569"/>
      <c r="C100" s="570"/>
      <c r="D100" s="570"/>
      <c r="E100" s="570"/>
      <c r="F100" s="570"/>
      <c r="G100" s="591"/>
      <c r="H100" s="591"/>
      <c r="I100" s="591"/>
      <c r="J100" s="591"/>
      <c r="K100" s="591"/>
      <c r="L100" s="591"/>
      <c r="M100" s="592"/>
      <c r="N100" s="1149"/>
      <c r="O100" s="1149"/>
      <c r="P100" s="2680"/>
      <c r="Q100" s="504"/>
    </row>
    <row r="101" spans="1:17">
      <c r="A101" s="527" t="s">
        <v>2516</v>
      </c>
      <c r="B101" s="528" t="s">
        <v>2565</v>
      </c>
      <c r="C101" s="2969" t="s">
        <v>3052</v>
      </c>
      <c r="D101" s="530"/>
      <c r="E101" s="530"/>
      <c r="F101" s="530"/>
      <c r="G101" s="530"/>
      <c r="H101" s="530"/>
      <c r="I101" s="530"/>
      <c r="J101" s="530"/>
      <c r="K101" s="531"/>
      <c r="L101" s="532"/>
      <c r="M101" s="533"/>
      <c r="N101" s="1148"/>
      <c r="O101" s="1148"/>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49"/>
      <c r="O102" s="1149"/>
      <c r="P102" s="2680"/>
      <c r="Q102" s="504"/>
    </row>
    <row r="103" spans="1:17" ht="29.25" thickTop="1">
      <c r="A103" s="534"/>
      <c r="B103" s="538" t="s">
        <v>2566</v>
      </c>
      <c r="C103" s="578" t="str">
        <f>C104&amp;"(含)"&amp;"-"&amp;D104</f>
        <v>0(含)-2000</v>
      </c>
      <c r="D103" s="578" t="str">
        <f t="shared" ref="D103:L103" si="23">D104&amp;"(含)"&amp;"-"&amp;E104</f>
        <v>2000(含)-4000</v>
      </c>
      <c r="E103" s="578" t="str">
        <f t="shared" si="23"/>
        <v>4000(含)-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709">
        <v>0</v>
      </c>
      <c r="D104" s="710">
        <v>2000</v>
      </c>
      <c r="E104" s="710">
        <v>4000</v>
      </c>
      <c r="F104" s="595"/>
      <c r="G104" s="595"/>
      <c r="H104" s="595"/>
      <c r="I104" s="595"/>
      <c r="J104" s="596"/>
      <c r="K104" s="596"/>
      <c r="L104" s="597"/>
      <c r="M104" s="598"/>
      <c r="N104" s="1150"/>
      <c r="O104" s="1150"/>
      <c r="P104" s="2681"/>
      <c r="Q104" s="559"/>
    </row>
    <row r="105" spans="1:17" s="471" customFormat="1" ht="15.75" thickBot="1">
      <c r="A105" s="553"/>
      <c r="B105" s="543"/>
      <c r="C105" s="1206">
        <v>100</v>
      </c>
      <c r="D105" s="1207">
        <v>101</v>
      </c>
      <c r="E105" s="1207">
        <v>102</v>
      </c>
      <c r="F105" s="536"/>
      <c r="G105" s="536"/>
      <c r="H105" s="536"/>
      <c r="I105" s="536"/>
      <c r="J105" s="536"/>
      <c r="K105" s="536"/>
      <c r="L105" s="536"/>
      <c r="M105" s="537"/>
      <c r="N105" s="1149"/>
      <c r="O105" s="1149"/>
      <c r="P105" s="2681"/>
      <c r="Q105" s="559"/>
    </row>
    <row r="106" spans="1:17" ht="15" thickTop="1">
      <c r="A106" s="599"/>
      <c r="B106" s="538" t="s">
        <v>2567</v>
      </c>
      <c r="C106" s="2970" t="s">
        <v>3054</v>
      </c>
      <c r="D106" s="554"/>
      <c r="E106" s="583"/>
      <c r="F106" s="583"/>
      <c r="G106" s="583"/>
      <c r="H106" s="583"/>
      <c r="I106" s="583"/>
      <c r="J106" s="583"/>
      <c r="K106" s="584"/>
      <c r="L106" s="585"/>
      <c r="M106" s="586"/>
      <c r="N106" s="1148"/>
      <c r="O106" s="1148"/>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80"/>
      <c r="Q107" s="504"/>
    </row>
    <row r="108" spans="1:17" ht="15" thickTop="1">
      <c r="A108" s="599"/>
      <c r="B108" s="538" t="s">
        <v>2569</v>
      </c>
      <c r="C108" s="2970" t="s">
        <v>3064</v>
      </c>
      <c r="D108" s="554"/>
      <c r="E108" s="554"/>
      <c r="F108" s="583"/>
      <c r="G108" s="583"/>
      <c r="H108" s="583"/>
      <c r="I108" s="583"/>
      <c r="J108" s="583"/>
      <c r="K108" s="584"/>
      <c r="L108" s="585"/>
      <c r="M108" s="586"/>
      <c r="N108" s="1148"/>
      <c r="O108" s="1148"/>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80"/>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9"/>
      <c r="O112" s="1149"/>
      <c r="P112" s="2680"/>
      <c r="Q112" s="504"/>
    </row>
    <row r="113" spans="1:17" s="471" customFormat="1" ht="15" thickTop="1">
      <c r="A113" s="593"/>
      <c r="B113" s="538" t="s">
        <v>2653</v>
      </c>
      <c r="C113" s="2970" t="s">
        <v>3056</v>
      </c>
      <c r="D113" s="554"/>
      <c r="E113" s="554"/>
      <c r="F113" s="554"/>
      <c r="G113" s="554"/>
      <c r="H113" s="583"/>
      <c r="I113" s="583"/>
      <c r="J113" s="583"/>
      <c r="K113" s="584"/>
      <c r="L113" s="585"/>
      <c r="M113" s="586"/>
      <c r="N113" s="1150"/>
      <c r="O113" s="1150"/>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0"/>
      <c r="O114" s="1150"/>
      <c r="P114" s="2681"/>
      <c r="Q114" s="559"/>
    </row>
    <row r="115" spans="1:17" ht="15" thickTop="1">
      <c r="A115" s="599"/>
      <c r="B115" s="538" t="s">
        <v>2570</v>
      </c>
      <c r="C115" s="2970" t="s">
        <v>3058</v>
      </c>
      <c r="D115" s="554"/>
      <c r="E115" s="583"/>
      <c r="F115" s="583"/>
      <c r="G115" s="583"/>
      <c r="H115" s="583"/>
      <c r="I115" s="583"/>
      <c r="J115" s="583"/>
      <c r="K115" s="584"/>
      <c r="L115" s="585"/>
      <c r="M115" s="586"/>
      <c r="N115" s="1148"/>
      <c r="O115" s="1148"/>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80"/>
      <c r="Q116" s="504"/>
    </row>
    <row r="117" spans="1:17" ht="15" thickTop="1">
      <c r="A117" s="599"/>
      <c r="B117" s="538" t="s">
        <v>2571</v>
      </c>
      <c r="C117" s="2970" t="s">
        <v>3060</v>
      </c>
      <c r="D117" s="554"/>
      <c r="E117" s="554"/>
      <c r="F117" s="554"/>
      <c r="G117" s="554"/>
      <c r="H117" s="583"/>
      <c r="I117" s="583"/>
      <c r="J117" s="583"/>
      <c r="K117" s="584"/>
      <c r="L117" s="585"/>
      <c r="M117" s="586"/>
      <c r="N117" s="1148"/>
      <c r="O117" s="1148"/>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80"/>
      <c r="Q118" s="504"/>
    </row>
    <row r="119" spans="1:17" ht="15" thickTop="1">
      <c r="A119" s="599"/>
      <c r="B119" s="636" t="s">
        <v>2654</v>
      </c>
      <c r="C119" s="2971" t="s">
        <v>3062</v>
      </c>
      <c r="D119" s="583"/>
      <c r="E119" s="583"/>
      <c r="F119" s="583"/>
      <c r="G119" s="583"/>
      <c r="H119" s="583"/>
      <c r="I119" s="583"/>
      <c r="J119" s="583"/>
      <c r="K119" s="583"/>
      <c r="L119" s="2685"/>
      <c r="M119" s="2686"/>
      <c r="N119" s="1149"/>
      <c r="O119" s="1149"/>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80"/>
      <c r="Q120" s="504"/>
    </row>
    <row r="121" spans="1:17" s="471" customFormat="1" ht="15" thickTop="1">
      <c r="A121" s="593"/>
      <c r="B121" s="538" t="s">
        <v>2637</v>
      </c>
      <c r="C121" s="554" t="s">
        <v>3049</v>
      </c>
      <c r="D121" s="554"/>
      <c r="E121" s="554"/>
      <c r="F121" s="583"/>
      <c r="G121" s="555"/>
      <c r="H121" s="555"/>
      <c r="I121" s="555"/>
      <c r="J121" s="555"/>
      <c r="K121" s="555"/>
      <c r="L121" s="556"/>
      <c r="M121" s="557"/>
      <c r="N121" s="1150"/>
      <c r="O121" s="1150"/>
      <c r="P121" s="2681"/>
      <c r="Q121" s="559"/>
    </row>
    <row r="122" spans="1:17" s="471" customFormat="1" ht="15.75" thickBot="1">
      <c r="A122" s="553"/>
      <c r="B122" s="535"/>
      <c r="C122" s="560">
        <v>100</v>
      </c>
      <c r="D122" s="560"/>
      <c r="E122" s="560"/>
      <c r="F122" s="560"/>
      <c r="G122" s="560"/>
      <c r="H122" s="560"/>
      <c r="I122" s="560"/>
      <c r="J122" s="560"/>
      <c r="K122" s="560"/>
      <c r="L122" s="560"/>
      <c r="M122" s="560"/>
      <c r="N122" s="1150"/>
      <c r="O122" s="1150"/>
      <c r="P122" s="2681"/>
      <c r="Q122" s="559"/>
    </row>
    <row r="123" spans="1:17" ht="15" thickTop="1">
      <c r="A123" s="599"/>
      <c r="B123" s="538" t="s">
        <v>2573</v>
      </c>
      <c r="C123" s="2970" t="s">
        <v>3064</v>
      </c>
      <c r="D123" s="554"/>
      <c r="E123" s="554"/>
      <c r="F123" s="583"/>
      <c r="G123" s="583"/>
      <c r="H123" s="583"/>
      <c r="I123" s="583"/>
      <c r="J123" s="583"/>
      <c r="K123" s="584"/>
      <c r="L123" s="585"/>
      <c r="M123" s="586"/>
      <c r="N123" s="1148"/>
      <c r="O123" s="1148"/>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9"/>
      <c r="O124" s="1149"/>
      <c r="P124" s="2680"/>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49"/>
      <c r="O126" s="1149"/>
      <c r="P126" s="2680"/>
      <c r="Q126" s="504"/>
    </row>
    <row r="127" spans="1:17" s="471" customFormat="1" ht="15" thickTop="1">
      <c r="A127" s="593"/>
      <c r="B127" s="538">
        <f>B45</f>
        <v>0</v>
      </c>
      <c r="C127" s="554"/>
      <c r="D127" s="554"/>
      <c r="E127" s="554"/>
      <c r="F127" s="554"/>
      <c r="G127" s="554"/>
      <c r="H127" s="555"/>
      <c r="I127" s="555"/>
      <c r="J127" s="555"/>
      <c r="K127" s="555"/>
      <c r="L127" s="556"/>
      <c r="M127" s="557"/>
      <c r="N127" s="1150"/>
      <c r="O127" s="1150"/>
      <c r="P127" s="2681"/>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1"/>
      <c r="Q128" s="559"/>
    </row>
    <row r="129" spans="1:17" ht="15" thickTop="1">
      <c r="A129" s="599"/>
      <c r="B129" s="538">
        <f>B46</f>
        <v>0</v>
      </c>
      <c r="C129" s="554"/>
      <c r="D129" s="554"/>
      <c r="E129" s="554"/>
      <c r="F129" s="554"/>
      <c r="G129" s="583"/>
      <c r="H129" s="583"/>
      <c r="I129" s="583"/>
      <c r="J129" s="583"/>
      <c r="K129" s="584"/>
      <c r="L129" s="585"/>
      <c r="M129" s="586"/>
      <c r="N129" s="1148"/>
      <c r="O129" s="1148"/>
      <c r="P129" s="2680"/>
      <c r="Q129" s="504"/>
    </row>
    <row r="130" spans="1:17" ht="15.75" thickBot="1">
      <c r="A130" s="534"/>
      <c r="B130" s="543"/>
      <c r="C130" s="560"/>
      <c r="D130" s="560"/>
      <c r="E130" s="560"/>
      <c r="F130" s="560"/>
      <c r="G130" s="536"/>
      <c r="H130" s="536"/>
      <c r="I130" s="536"/>
      <c r="J130" s="536"/>
      <c r="K130" s="536"/>
      <c r="L130" s="536"/>
      <c r="M130" s="537"/>
      <c r="N130" s="1149"/>
      <c r="O130" s="1149"/>
      <c r="P130" s="2680"/>
      <c r="Q130" s="504"/>
    </row>
    <row r="131" spans="1:17" ht="15" thickTop="1">
      <c r="A131" s="599"/>
      <c r="B131" s="546">
        <f>B47</f>
        <v>0</v>
      </c>
      <c r="C131" s="523"/>
      <c r="D131" s="523"/>
      <c r="E131" s="523"/>
      <c r="F131" s="523"/>
      <c r="G131" s="587"/>
      <c r="H131" s="587"/>
      <c r="I131" s="587"/>
      <c r="J131" s="587"/>
      <c r="K131" s="523"/>
      <c r="L131" s="524"/>
      <c r="M131" s="590"/>
      <c r="N131" s="1148"/>
      <c r="O131" s="1148"/>
      <c r="P131" s="2680"/>
      <c r="Q131" s="504"/>
    </row>
    <row r="132" spans="1:17" ht="15.75"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8" priority="16" stopIfTrue="1" operator="containsText" text="超过">
      <formula>NOT(ISERROR(SEARCH("超过",F53)))</formula>
    </cfRule>
  </conditionalFormatting>
  <conditionalFormatting sqref="H55">
    <cfRule type="containsText" dxfId="137" priority="15" stopIfTrue="1" operator="containsText" text="超过">
      <formula>NOT(ISERROR(SEARCH("超过",H55)))</formula>
    </cfRule>
  </conditionalFormatting>
  <conditionalFormatting sqref="F55">
    <cfRule type="containsText" dxfId="136" priority="14" stopIfTrue="1" operator="containsText" text="超过">
      <formula>NOT(ISERROR(SEARCH("超过",F55)))</formula>
    </cfRule>
  </conditionalFormatting>
  <conditionalFormatting sqref="F54 H54">
    <cfRule type="containsText" dxfId="135" priority="13" stopIfTrue="1" operator="containsText" text="超过">
      <formula>NOT(ISERROR(SEARCH("超过",F54)))</formula>
    </cfRule>
  </conditionalFormatting>
  <conditionalFormatting sqref="E53">
    <cfRule type="expression" dxfId="134" priority="12"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5">
    <cfRule type="expression" dxfId="131" priority="9" stopIfTrue="1">
      <formula>$H$55="超过30%"</formula>
    </cfRule>
  </conditionalFormatting>
  <conditionalFormatting sqref="G53">
    <cfRule type="expression" dxfId="130" priority="8" stopIfTrue="1">
      <formula>$H$53="超过30%"</formula>
    </cfRule>
  </conditionalFormatting>
  <conditionalFormatting sqref="G54">
    <cfRule type="expression" dxfId="129" priority="7" stopIfTrue="1">
      <formula>$H$54="超过20%"</formula>
    </cfRule>
  </conditionalFormatting>
  <conditionalFormatting sqref="J53">
    <cfRule type="containsText" dxfId="128" priority="6" stopIfTrue="1" operator="containsText" text="超过">
      <formula>NOT(ISERROR(SEARCH("超过",J53)))</formula>
    </cfRule>
  </conditionalFormatting>
  <conditionalFormatting sqref="J55">
    <cfRule type="containsText" dxfId="127" priority="5" stopIfTrue="1" operator="containsText" text="超过">
      <formula>NOT(ISERROR(SEARCH("超过",J55)))</formula>
    </cfRule>
  </conditionalFormatting>
  <conditionalFormatting sqref="J54">
    <cfRule type="containsText" dxfId="126" priority="4" stopIfTrue="1" operator="containsText" text="超过">
      <formula>NOT(ISERROR(SEARCH("超过",J54)))</formula>
    </cfRule>
  </conditionalFormatting>
  <conditionalFormatting sqref="I53">
    <cfRule type="expression" dxfId="125" priority="3" stopIfTrue="1">
      <formula>$J$53="超过30%"</formula>
    </cfRule>
  </conditionalFormatting>
  <conditionalFormatting sqref="I54">
    <cfRule type="expression" dxfId="124" priority="2" stopIfTrue="1">
      <formula>$J$53+$J$54="超过20%"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1602</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1603</v>
      </c>
    </row>
    <row r="6" spans="1:1" ht="18.75">
      <c r="A6" s="1944" t="s">
        <v>1604</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估价对象为北京市房地产，为所有。根据《国有土地使用证》[]，估价对象（分摊）出让国有建设用地使用权面积为2179.29平方米，建筑面积为21282.42平方米。</v>
      </c>
    </row>
    <row r="8" spans="1:1" ht="57.75">
      <c r="A8" s="1945" t="s">
        <v>1605</v>
      </c>
    </row>
    <row r="9" spans="1:1" ht="18.75">
      <c r="A9" s="1944" t="s">
        <v>1606</v>
      </c>
    </row>
    <row r="10" spans="1:1" ht="5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2179.29平方米，规划建筑面积为21282.42平方米。</v>
      </c>
    </row>
    <row r="11" spans="1:1" ht="76.5">
      <c r="A11" s="1945" t="s">
        <v>1607</v>
      </c>
    </row>
    <row r="12" spans="1:1" ht="18.75">
      <c r="A12" s="1943" t="s">
        <v>1608</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1609</v>
      </c>
    </row>
    <row r="15" spans="1:1" ht="18">
      <c r="A15" s="1948" t="str">
        <f>TEXT(项目基本情况!D3,"yyyy年m月d日;;")&amp;IF(项目基本情况!D3=项目基本情况!B3,"（评估专业人员实地查勘之日）","")</f>
        <v>2019年11月26日（评估专业人员实地查勘之日）</v>
      </c>
    </row>
    <row r="16" spans="1:1" ht="18.75">
      <c r="A16" s="1947" t="s">
        <v>1610</v>
      </c>
    </row>
    <row r="17" spans="1:1" ht="75">
      <c r="A17" s="1942" t="s">
        <v>1611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1600</v>
      </c>
    </row>
    <row r="24" spans="1:1" ht="18">
      <c r="A24" s="1949" t="str">
        <f>"本次评估采用的主估价方法为"&amp;'结果表-办公'!K4&amp;"和"&amp;'结果表-办公'!L4&amp;"。"</f>
        <v>本次评估采用的主估价方法为比较法和收益法。</v>
      </c>
    </row>
    <row r="25" spans="1:1" ht="18">
      <c r="A25" s="1949"/>
    </row>
    <row r="26" spans="1:1" ht="18.75">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2655</v>
      </c>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IF(C2="——",ROUND(C43*D3/10000,0),ROUND(C43*D3/10000,0)-D2)</f>
        <v>#DIV/0!</v>
      </c>
      <c r="C2" s="2582"/>
      <c r="D2" s="1120"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2597</v>
      </c>
      <c r="D3" s="399">
        <f>IF(D1="",'数据-汇总表'!E3,SUMIF('数据-汇总表'!$C19:$C33,D1,'数据-汇总表'!$E19:$E33))</f>
        <v>21282.42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00" t="s">
        <v>2601</v>
      </c>
      <c r="AC4" s="3299" t="s">
        <v>2602</v>
      </c>
    </row>
    <row r="5" spans="1:29" ht="15">
      <c r="A5" s="404"/>
      <c r="B5" s="405"/>
      <c r="C5" s="3310" t="s">
        <v>2495</v>
      </c>
      <c r="D5" s="3311"/>
      <c r="E5" s="3308" t="s">
        <v>2496</v>
      </c>
      <c r="F5" s="3309"/>
      <c r="G5" s="3310" t="s">
        <v>2497</v>
      </c>
      <c r="H5" s="3311"/>
      <c r="I5" s="3310" t="s">
        <v>2498</v>
      </c>
      <c r="J5" s="3311"/>
      <c r="K5" s="610"/>
      <c r="L5" s="1126"/>
      <c r="M5" s="1127"/>
      <c r="N5" s="1127"/>
      <c r="O5" s="1127"/>
      <c r="P5" s="3323"/>
      <c r="Q5" s="3324"/>
      <c r="R5" s="3306"/>
      <c r="S5" s="3307"/>
      <c r="T5" s="3306"/>
      <c r="U5" s="3307"/>
      <c r="V5" s="3329"/>
      <c r="W5" s="3329"/>
      <c r="X5" s="1808"/>
      <c r="Y5" s="3306"/>
      <c r="Z5" s="3307"/>
      <c r="AA5" s="3300"/>
      <c r="AB5" s="3300"/>
      <c r="AC5" s="3300"/>
    </row>
    <row r="6" spans="1:29" ht="15.75" thickBot="1">
      <c r="A6" s="406"/>
      <c r="B6" s="407"/>
      <c r="C6" s="3312" t="s">
        <v>2499</v>
      </c>
      <c r="D6" s="3313"/>
      <c r="E6" s="3314" t="s">
        <v>2499</v>
      </c>
      <c r="F6" s="3315"/>
      <c r="G6" s="3312" t="s">
        <v>2499</v>
      </c>
      <c r="H6" s="3313"/>
      <c r="I6" s="3312" t="s">
        <v>2499</v>
      </c>
      <c r="J6" s="3313"/>
      <c r="K6" s="610" t="s">
        <v>2500</v>
      </c>
      <c r="L6" s="1126"/>
      <c r="M6" s="1127"/>
      <c r="N6" s="1127"/>
      <c r="O6" s="1127"/>
      <c r="P6" s="3325"/>
      <c r="Q6" s="3326"/>
      <c r="R6" s="3306"/>
      <c r="S6" s="3307"/>
      <c r="T6" s="3327"/>
      <c r="U6" s="3328"/>
      <c r="V6" s="3329"/>
      <c r="W6" s="3329"/>
      <c r="X6" s="1808"/>
      <c r="Y6" s="3327"/>
      <c r="Z6" s="3328"/>
      <c r="AA6" s="3301"/>
      <c r="AB6" s="3301"/>
      <c r="AC6" s="3301"/>
    </row>
    <row r="7" spans="1:29" s="117" customFormat="1" ht="15.75" thickBot="1">
      <c r="A7" s="408" t="s">
        <v>2501</v>
      </c>
      <c r="B7" s="409"/>
      <c r="C7" s="410">
        <f>'数据-取费表'!B2</f>
        <v>43795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02" t="s">
        <v>2502</v>
      </c>
      <c r="Q7" s="3330"/>
      <c r="R7" s="770" t="s">
        <v>17</v>
      </c>
      <c r="S7" s="771">
        <f t="shared" ref="S7:S15" si="0">F7</f>
        <v>0</v>
      </c>
      <c r="T7" s="770" t="s">
        <v>17</v>
      </c>
      <c r="U7" s="771">
        <f t="shared" ref="U7:U15" si="1">H7</f>
        <v>0</v>
      </c>
      <c r="V7" s="770" t="s">
        <v>17</v>
      </c>
      <c r="W7" s="771">
        <f t="shared" ref="W7:W15" si="2">J7</f>
        <v>0</v>
      </c>
      <c r="X7" s="772"/>
      <c r="Y7" s="3302" t="s">
        <v>2502</v>
      </c>
      <c r="Z7" s="3303"/>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02" t="s">
        <v>2505</v>
      </c>
      <c r="Q8" s="3303"/>
      <c r="R8" s="770" t="s">
        <v>17</v>
      </c>
      <c r="S8" s="771">
        <f t="shared" si="0"/>
        <v>0</v>
      </c>
      <c r="T8" s="770" t="s">
        <v>17</v>
      </c>
      <c r="U8" s="771">
        <f t="shared" si="1"/>
        <v>0</v>
      </c>
      <c r="V8" s="770" t="s">
        <v>17</v>
      </c>
      <c r="W8" s="771">
        <f t="shared" si="2"/>
        <v>0</v>
      </c>
      <c r="X8" s="772"/>
      <c r="Y8" s="3302" t="s">
        <v>2505</v>
      </c>
      <c r="Z8" s="3303"/>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334"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334"/>
      <c r="Q10" s="1790" t="str">
        <f t="shared" si="6"/>
        <v>土地使用年限（年）</v>
      </c>
      <c r="R10" s="770" t="s">
        <v>17</v>
      </c>
      <c r="S10" s="771">
        <f t="shared" si="0"/>
        <v>100</v>
      </c>
      <c r="T10" s="770" t="s">
        <v>17</v>
      </c>
      <c r="U10" s="771">
        <f t="shared" si="1"/>
        <v>100</v>
      </c>
      <c r="V10" s="770" t="s">
        <v>17</v>
      </c>
      <c r="W10" s="771">
        <f t="shared" si="2"/>
        <v>100</v>
      </c>
      <c r="X10" s="772"/>
      <c r="Y10" s="3146"/>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334"/>
      <c r="Q11" s="1790" t="str">
        <f t="shared" si="6"/>
        <v>容积率</v>
      </c>
      <c r="R11" s="770" t="s">
        <v>17</v>
      </c>
      <c r="S11" s="771" t="e">
        <f t="shared" si="0"/>
        <v>#N/A</v>
      </c>
      <c r="T11" s="770" t="s">
        <v>17</v>
      </c>
      <c r="U11" s="771" t="e">
        <f t="shared" si="1"/>
        <v>#N/A</v>
      </c>
      <c r="V11" s="770" t="s">
        <v>17</v>
      </c>
      <c r="W11" s="771" t="e">
        <f t="shared" si="2"/>
        <v>#N/A</v>
      </c>
      <c r="X11" s="772"/>
      <c r="Y11" s="314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334"/>
      <c r="Q12" s="1790">
        <f t="shared" si="6"/>
        <v>111</v>
      </c>
      <c r="R12" s="770" t="s">
        <v>17</v>
      </c>
      <c r="S12" s="771">
        <f t="shared" si="0"/>
        <v>100</v>
      </c>
      <c r="T12" s="770" t="s">
        <v>17</v>
      </c>
      <c r="U12" s="771">
        <f t="shared" si="1"/>
        <v>100</v>
      </c>
      <c r="V12" s="770" t="s">
        <v>17</v>
      </c>
      <c r="W12" s="771">
        <f t="shared" si="2"/>
        <v>100</v>
      </c>
      <c r="X12" s="772"/>
      <c r="Y12" s="314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334"/>
      <c r="Q13" s="1790">
        <f t="shared" si="6"/>
        <v>111</v>
      </c>
      <c r="R13" s="770" t="s">
        <v>17</v>
      </c>
      <c r="S13" s="771">
        <f t="shared" si="0"/>
        <v>100</v>
      </c>
      <c r="T13" s="770" t="s">
        <v>17</v>
      </c>
      <c r="U13" s="771">
        <f t="shared" si="1"/>
        <v>100</v>
      </c>
      <c r="V13" s="770" t="s">
        <v>17</v>
      </c>
      <c r="W13" s="771">
        <f t="shared" si="2"/>
        <v>100</v>
      </c>
      <c r="X13" s="772"/>
      <c r="Y13" s="3146"/>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334"/>
      <c r="Q14" s="1790">
        <f t="shared" si="6"/>
        <v>111</v>
      </c>
      <c r="R14" s="770" t="s">
        <v>17</v>
      </c>
      <c r="S14" s="771">
        <f t="shared" si="0"/>
        <v>100</v>
      </c>
      <c r="T14" s="770" t="s">
        <v>17</v>
      </c>
      <c r="U14" s="771">
        <f t="shared" si="1"/>
        <v>100</v>
      </c>
      <c r="V14" s="770" t="s">
        <v>17</v>
      </c>
      <c r="W14" s="771">
        <f t="shared" si="2"/>
        <v>100</v>
      </c>
      <c r="X14" s="772"/>
      <c r="Y14" s="3146"/>
      <c r="Z14" s="55">
        <f t="shared" si="7"/>
        <v>111</v>
      </c>
      <c r="AA14" s="773">
        <f t="shared" si="3"/>
        <v>1</v>
      </c>
      <c r="AB14" s="773">
        <f t="shared" si="4"/>
        <v>1</v>
      </c>
      <c r="AC14" s="773">
        <f t="shared" si="5"/>
        <v>1</v>
      </c>
    </row>
    <row r="15" spans="1:29" ht="15">
      <c r="A15" s="440" t="s">
        <v>2512</v>
      </c>
      <c r="B15" s="69" t="s">
        <v>2656</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36" t="s">
        <v>2513</v>
      </c>
      <c r="Q15" s="1805" t="str">
        <f t="shared" si="6"/>
        <v>产业集聚程度</v>
      </c>
      <c r="R15" s="774" t="s">
        <v>17</v>
      </c>
      <c r="S15" s="775">
        <f t="shared" si="0"/>
        <v>100</v>
      </c>
      <c r="T15" s="774" t="s">
        <v>17</v>
      </c>
      <c r="U15" s="775">
        <f t="shared" si="1"/>
        <v>100</v>
      </c>
      <c r="V15" s="774" t="s">
        <v>17</v>
      </c>
      <c r="W15" s="775">
        <f t="shared" si="2"/>
        <v>100</v>
      </c>
      <c r="X15" s="1808"/>
      <c r="Y15" s="3336" t="s">
        <v>2513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337"/>
      <c r="Q16" s="1805"/>
      <c r="R16" s="774"/>
      <c r="S16" s="775"/>
      <c r="T16" s="774"/>
      <c r="U16" s="775"/>
      <c r="V16" s="774"/>
      <c r="W16" s="775"/>
      <c r="X16" s="1808"/>
      <c r="Y16" s="3337"/>
      <c r="Z16" s="1809"/>
      <c r="AA16" s="1806">
        <v>1</v>
      </c>
      <c r="AB16" s="1806">
        <v>1</v>
      </c>
      <c r="AC16" s="1806">
        <v>1</v>
      </c>
    </row>
    <row r="17" spans="1:29" ht="15">
      <c r="A17" s="428"/>
      <c r="B17" s="451" t="s">
        <v>2052</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37"/>
      <c r="Q17" s="1805" t="str">
        <f>B17</f>
        <v>交通便捷度</v>
      </c>
      <c r="R17" s="774" t="s">
        <v>17</v>
      </c>
      <c r="S17" s="775">
        <f>F17</f>
        <v>100</v>
      </c>
      <c r="T17" s="774" t="s">
        <v>17</v>
      </c>
      <c r="U17" s="775">
        <f>H17</f>
        <v>100</v>
      </c>
      <c r="V17" s="774" t="s">
        <v>17</v>
      </c>
      <c r="W17" s="775">
        <f>J17</f>
        <v>100</v>
      </c>
      <c r="X17" s="1808"/>
      <c r="Y17" s="3337"/>
      <c r="Z17" s="1809" t="str">
        <f>Q17</f>
        <v>交通便捷度</v>
      </c>
      <c r="AA17" s="1806">
        <f t="shared" si="3"/>
        <v>1</v>
      </c>
      <c r="AB17" s="1806">
        <f t="shared" si="4"/>
        <v>1</v>
      </c>
      <c r="AC17" s="1806">
        <f t="shared" si="5"/>
        <v>1</v>
      </c>
    </row>
    <row r="18" spans="1:29" ht="15">
      <c r="A18" s="428"/>
      <c r="B18" s="456"/>
      <c r="C18" s="2604"/>
      <c r="D18" s="450"/>
      <c r="E18" s="2606"/>
      <c r="F18" s="453"/>
      <c r="G18" s="2605"/>
      <c r="H18" s="448"/>
      <c r="I18" s="2606"/>
      <c r="J18" s="448"/>
      <c r="K18" s="615"/>
      <c r="L18" s="1136"/>
      <c r="M18" s="1127"/>
      <c r="N18" s="1127"/>
      <c r="O18" s="1135"/>
      <c r="P18" s="3337"/>
      <c r="Q18" s="1805"/>
      <c r="R18" s="774"/>
      <c r="S18" s="775"/>
      <c r="T18" s="774"/>
      <c r="U18" s="775"/>
      <c r="V18" s="774"/>
      <c r="W18" s="775"/>
      <c r="X18" s="1808"/>
      <c r="Y18" s="3337"/>
      <c r="Z18" s="1809"/>
      <c r="AA18" s="1806">
        <v>1</v>
      </c>
      <c r="AB18" s="1806">
        <v>1</v>
      </c>
      <c r="AC18" s="1806">
        <v>1</v>
      </c>
    </row>
    <row r="19" spans="1:29" ht="15">
      <c r="A19" s="428"/>
      <c r="B19" s="451" t="s">
        <v>2641</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37"/>
      <c r="Q19" s="1805" t="str">
        <f>B19</f>
        <v>公共配套设施</v>
      </c>
      <c r="R19" s="774" t="s">
        <v>17</v>
      </c>
      <c r="S19" s="775">
        <f>F19</f>
        <v>100</v>
      </c>
      <c r="T19" s="774" t="s">
        <v>17</v>
      </c>
      <c r="U19" s="775">
        <f>H19</f>
        <v>100</v>
      </c>
      <c r="V19" s="774" t="s">
        <v>17</v>
      </c>
      <c r="W19" s="775">
        <f>J19</f>
        <v>100</v>
      </c>
      <c r="X19" s="1808"/>
      <c r="Y19" s="3337"/>
      <c r="Z19" s="1809" t="str">
        <f>Q19</f>
        <v>公共配套设施</v>
      </c>
      <c r="AA19" s="1806">
        <f t="shared" si="3"/>
        <v>1</v>
      </c>
      <c r="AB19" s="1806">
        <f t="shared" si="4"/>
        <v>1</v>
      </c>
      <c r="AC19" s="1806">
        <f t="shared" si="5"/>
        <v>1</v>
      </c>
    </row>
    <row r="20" spans="1:29" ht="15">
      <c r="A20" s="428"/>
      <c r="B20" s="456"/>
      <c r="C20" s="447"/>
      <c r="D20" s="448"/>
      <c r="E20" s="2601"/>
      <c r="F20" s="449"/>
      <c r="G20" s="2600"/>
      <c r="H20" s="448"/>
      <c r="I20" s="2601"/>
      <c r="J20" s="448"/>
      <c r="K20" s="615"/>
      <c r="L20" s="1136"/>
      <c r="M20" s="1127"/>
      <c r="N20" s="1127"/>
      <c r="O20" s="1135"/>
      <c r="P20" s="3337"/>
      <c r="Q20" s="1805"/>
      <c r="R20" s="774"/>
      <c r="S20" s="775"/>
      <c r="T20" s="774"/>
      <c r="U20" s="775"/>
      <c r="V20" s="774"/>
      <c r="W20" s="775"/>
      <c r="X20" s="1808"/>
      <c r="Y20" s="3337"/>
      <c r="Z20" s="1809"/>
      <c r="AA20" s="1806">
        <v>1</v>
      </c>
      <c r="AB20" s="1806">
        <v>1</v>
      </c>
      <c r="AC20" s="1806">
        <v>1</v>
      </c>
    </row>
    <row r="21" spans="1:29" ht="15">
      <c r="A21" s="428"/>
      <c r="B21" s="1380" t="s">
        <v>2642</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37"/>
      <c r="Q21" s="1805" t="str">
        <f>B21</f>
        <v>基础设施水平</v>
      </c>
      <c r="R21" s="774" t="s">
        <v>17</v>
      </c>
      <c r="S21" s="775">
        <f>F21</f>
        <v>100</v>
      </c>
      <c r="T21" s="774" t="s">
        <v>17</v>
      </c>
      <c r="U21" s="775">
        <f>H21</f>
        <v>100</v>
      </c>
      <c r="V21" s="774" t="s">
        <v>17</v>
      </c>
      <c r="W21" s="775">
        <f>J21</f>
        <v>100</v>
      </c>
      <c r="X21" s="1808"/>
      <c r="Y21" s="3337"/>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9"/>
      <c r="G22" s="447"/>
      <c r="H22" s="448"/>
      <c r="I22" s="447"/>
      <c r="J22" s="448"/>
      <c r="K22" s="1379"/>
      <c r="L22" s="1136"/>
      <c r="M22" s="1127"/>
      <c r="N22" s="1127"/>
      <c r="O22" s="1135"/>
      <c r="P22" s="3337"/>
      <c r="Q22" s="1805"/>
      <c r="R22" s="774"/>
      <c r="S22" s="775"/>
      <c r="T22" s="774"/>
      <c r="U22" s="775"/>
      <c r="V22" s="774"/>
      <c r="W22" s="775"/>
      <c r="X22" s="1808"/>
      <c r="Y22" s="3337"/>
      <c r="Z22" s="1809"/>
      <c r="AA22" s="1806">
        <v>1</v>
      </c>
      <c r="AB22" s="1806">
        <v>1</v>
      </c>
      <c r="AC22" s="1806">
        <v>1</v>
      </c>
    </row>
    <row r="23" spans="1:29" ht="15">
      <c r="A23" s="428"/>
      <c r="B23" s="451" t="s">
        <v>2643</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37"/>
      <c r="Q23" s="1805" t="str">
        <f>B23</f>
        <v>环境质量</v>
      </c>
      <c r="R23" s="774" t="s">
        <v>17</v>
      </c>
      <c r="S23" s="775">
        <f>F23</f>
        <v>100</v>
      </c>
      <c r="T23" s="774" t="s">
        <v>17</v>
      </c>
      <c r="U23" s="775">
        <f>H23</f>
        <v>100</v>
      </c>
      <c r="V23" s="774" t="s">
        <v>17</v>
      </c>
      <c r="W23" s="775">
        <f>J23</f>
        <v>100</v>
      </c>
      <c r="X23" s="1808"/>
      <c r="Y23" s="3337"/>
      <c r="Z23" s="1809" t="str">
        <f>Q23</f>
        <v>环境质量</v>
      </c>
      <c r="AA23" s="1806">
        <f t="shared" si="3"/>
        <v>1</v>
      </c>
      <c r="AB23" s="1806">
        <f t="shared" si="4"/>
        <v>1</v>
      </c>
      <c r="AC23" s="1806">
        <f t="shared" si="5"/>
        <v>1</v>
      </c>
    </row>
    <row r="24" spans="1:29" ht="15">
      <c r="A24" s="428"/>
      <c r="B24" s="1380"/>
      <c r="C24" s="447"/>
      <c r="D24" s="448"/>
      <c r="E24" s="2601"/>
      <c r="F24" s="449"/>
      <c r="G24" s="2600"/>
      <c r="H24" s="448"/>
      <c r="I24" s="2601"/>
      <c r="J24" s="448"/>
      <c r="K24" s="615"/>
      <c r="L24" s="1136"/>
      <c r="M24" s="1127"/>
      <c r="N24" s="1127"/>
      <c r="O24" s="1135"/>
      <c r="P24" s="3337"/>
      <c r="Q24" s="1805"/>
      <c r="R24" s="774"/>
      <c r="S24" s="775"/>
      <c r="T24" s="774"/>
      <c r="U24" s="775"/>
      <c r="V24" s="774"/>
      <c r="W24" s="775"/>
      <c r="X24" s="1808"/>
      <c r="Y24" s="3337"/>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37"/>
      <c r="Q25" s="1805">
        <f>B25</f>
        <v>111</v>
      </c>
      <c r="R25" s="774" t="s">
        <v>17</v>
      </c>
      <c r="S25" s="775">
        <f>F25</f>
        <v>100</v>
      </c>
      <c r="T25" s="774" t="s">
        <v>17</v>
      </c>
      <c r="U25" s="775">
        <f>H25</f>
        <v>100</v>
      </c>
      <c r="V25" s="774" t="s">
        <v>17</v>
      </c>
      <c r="W25" s="775">
        <f>J25</f>
        <v>100</v>
      </c>
      <c r="X25" s="1808"/>
      <c r="Y25" s="3337"/>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37"/>
      <c r="Q26" s="1805">
        <f t="shared" ref="Q26:Q40" si="11">B26</f>
        <v>111</v>
      </c>
      <c r="R26" s="774" t="s">
        <v>17</v>
      </c>
      <c r="S26" s="775">
        <f>F26</f>
        <v>100</v>
      </c>
      <c r="T26" s="774" t="s">
        <v>17</v>
      </c>
      <c r="U26" s="775">
        <f>H26</f>
        <v>100</v>
      </c>
      <c r="V26" s="774" t="s">
        <v>17</v>
      </c>
      <c r="W26" s="775">
        <f>J26</f>
        <v>100</v>
      </c>
      <c r="X26" s="1808"/>
      <c r="Y26" s="3337"/>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37"/>
      <c r="Q27" s="1790">
        <f t="shared" si="11"/>
        <v>111</v>
      </c>
      <c r="R27" s="770" t="s">
        <v>17</v>
      </c>
      <c r="S27" s="771">
        <f>F27</f>
        <v>100</v>
      </c>
      <c r="T27" s="770" t="s">
        <v>17</v>
      </c>
      <c r="U27" s="771">
        <f>H27</f>
        <v>100</v>
      </c>
      <c r="V27" s="770" t="s">
        <v>17</v>
      </c>
      <c r="W27" s="771">
        <f>J27</f>
        <v>100</v>
      </c>
      <c r="X27" s="772"/>
      <c r="Y27" s="3337"/>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37"/>
      <c r="Q28" s="1805">
        <f t="shared" si="11"/>
        <v>111</v>
      </c>
      <c r="R28" s="774" t="s">
        <v>17</v>
      </c>
      <c r="S28" s="775">
        <f t="shared" ref="S28:S40" si="12">F28</f>
        <v>100</v>
      </c>
      <c r="T28" s="774" t="s">
        <v>17</v>
      </c>
      <c r="U28" s="775">
        <f t="shared" ref="U28:U40" si="13">H28</f>
        <v>100</v>
      </c>
      <c r="V28" s="774" t="s">
        <v>17</v>
      </c>
      <c r="W28" s="775">
        <f t="shared" ref="W28:W40" si="14">J28</f>
        <v>100</v>
      </c>
      <c r="X28" s="1808"/>
      <c r="Y28" s="3337"/>
      <c r="Z28" s="1809">
        <f t="shared" ref="Z28:Z40" si="15">Q28</f>
        <v>111</v>
      </c>
      <c r="AA28" s="1806">
        <f t="shared" si="3"/>
        <v>1</v>
      </c>
      <c r="AB28" s="1806">
        <f t="shared" si="4"/>
        <v>1</v>
      </c>
      <c r="AC28" s="1806">
        <f t="shared" si="5"/>
        <v>1</v>
      </c>
    </row>
    <row r="29" spans="1:29" ht="28.5">
      <c r="A29" s="466" t="s">
        <v>2516</v>
      </c>
      <c r="B29" s="71" t="s">
        <v>2646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386" t="s">
        <v>2518</v>
      </c>
      <c r="Q29" s="1805" t="str">
        <f t="shared" si="11"/>
        <v>建筑类型</v>
      </c>
      <c r="R29" s="774" t="s">
        <v>17</v>
      </c>
      <c r="S29" s="775">
        <f t="shared" si="12"/>
        <v>100</v>
      </c>
      <c r="T29" s="774" t="s">
        <v>17</v>
      </c>
      <c r="U29" s="775">
        <f t="shared" si="13"/>
        <v>100</v>
      </c>
      <c r="V29" s="774" t="s">
        <v>17</v>
      </c>
      <c r="W29" s="775">
        <f t="shared" si="14"/>
        <v>100</v>
      </c>
      <c r="X29" s="1808"/>
      <c r="Y29" s="3341" t="s">
        <v>2518</v>
      </c>
      <c r="Z29" s="1809" t="str">
        <f t="shared" si="15"/>
        <v>建筑类型</v>
      </c>
      <c r="AA29" s="1806">
        <f t="shared" si="3"/>
        <v>1</v>
      </c>
      <c r="AB29" s="1806">
        <f t="shared" si="4"/>
        <v>1</v>
      </c>
      <c r="AC29" s="1806">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41"/>
      <c r="Q30" s="776" t="str">
        <f t="shared" si="11"/>
        <v>项目建筑规模</v>
      </c>
      <c r="R30" s="777" t="s">
        <v>17</v>
      </c>
      <c r="S30" s="778" t="e">
        <f t="shared" si="12"/>
        <v>#N/A</v>
      </c>
      <c r="T30" s="777" t="s">
        <v>17</v>
      </c>
      <c r="U30" s="778" t="e">
        <f t="shared" si="13"/>
        <v>#N/A</v>
      </c>
      <c r="V30" s="777" t="s">
        <v>17</v>
      </c>
      <c r="W30" s="778" t="e">
        <f t="shared" si="14"/>
        <v>#N/A</v>
      </c>
      <c r="X30" s="779"/>
      <c r="Y30" s="3341"/>
      <c r="Z30" s="780" t="str">
        <f t="shared" si="15"/>
        <v>项目建筑规模</v>
      </c>
      <c r="AA30" s="1806" t="e">
        <f t="shared" si="3"/>
        <v>#N/A</v>
      </c>
      <c r="AB30" s="1806" t="e">
        <f t="shared" si="4"/>
        <v>#N/A</v>
      </c>
      <c r="AC30" s="1806"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41"/>
      <c r="Q31" s="1805" t="str">
        <f t="shared" si="11"/>
        <v>建筑结构</v>
      </c>
      <c r="R31" s="774" t="s">
        <v>17</v>
      </c>
      <c r="S31" s="775">
        <f t="shared" si="12"/>
        <v>100</v>
      </c>
      <c r="T31" s="774" t="s">
        <v>17</v>
      </c>
      <c r="U31" s="775">
        <f t="shared" si="13"/>
        <v>100</v>
      </c>
      <c r="V31" s="774" t="s">
        <v>17</v>
      </c>
      <c r="W31" s="775">
        <f t="shared" si="14"/>
        <v>100</v>
      </c>
      <c r="X31" s="1808"/>
      <c r="Y31" s="3341"/>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41"/>
      <c r="Q32" s="1805" t="str">
        <f t="shared" si="11"/>
        <v>公共部分装修</v>
      </c>
      <c r="R32" s="774" t="s">
        <v>17</v>
      </c>
      <c r="S32" s="775">
        <f t="shared" si="12"/>
        <v>100</v>
      </c>
      <c r="T32" s="774" t="s">
        <v>17</v>
      </c>
      <c r="U32" s="775">
        <f t="shared" si="13"/>
        <v>100</v>
      </c>
      <c r="V32" s="774" t="s">
        <v>17</v>
      </c>
      <c r="W32" s="775">
        <f t="shared" si="14"/>
        <v>100</v>
      </c>
      <c r="X32" s="1808"/>
      <c r="Y32" s="3341"/>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41"/>
      <c r="Q33" s="1805" t="str">
        <f t="shared" si="11"/>
        <v>成新度</v>
      </c>
      <c r="R33" s="774" t="s">
        <v>17</v>
      </c>
      <c r="S33" s="775" t="e">
        <f t="shared" si="12"/>
        <v>#N/A</v>
      </c>
      <c r="T33" s="774" t="s">
        <v>17</v>
      </c>
      <c r="U33" s="775" t="e">
        <f t="shared" si="13"/>
        <v>#N/A</v>
      </c>
      <c r="V33" s="774" t="s">
        <v>17</v>
      </c>
      <c r="W33" s="775" t="e">
        <f t="shared" si="14"/>
        <v>#N/A</v>
      </c>
      <c r="X33" s="1808"/>
      <c r="Y33" s="3341"/>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41"/>
      <c r="Q34" s="1790" t="str">
        <f t="shared" si="11"/>
        <v>物业管理</v>
      </c>
      <c r="R34" s="770" t="s">
        <v>17</v>
      </c>
      <c r="S34" s="771">
        <f t="shared" si="12"/>
        <v>100</v>
      </c>
      <c r="T34" s="770" t="s">
        <v>17</v>
      </c>
      <c r="U34" s="771">
        <f t="shared" si="13"/>
        <v>100</v>
      </c>
      <c r="V34" s="770" t="s">
        <v>17</v>
      </c>
      <c r="W34" s="771">
        <f t="shared" si="14"/>
        <v>100</v>
      </c>
      <c r="X34" s="772"/>
      <c r="Y34" s="3341"/>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41" t="s">
        <v>2518</v>
      </c>
      <c r="Q35" s="1805" t="str">
        <f t="shared" si="11"/>
        <v>市政基础设施</v>
      </c>
      <c r="R35" s="774" t="s">
        <v>17</v>
      </c>
      <c r="S35" s="775">
        <f t="shared" si="12"/>
        <v>100</v>
      </c>
      <c r="T35" s="774" t="s">
        <v>17</v>
      </c>
      <c r="U35" s="775">
        <f t="shared" si="13"/>
        <v>100</v>
      </c>
      <c r="V35" s="774" t="s">
        <v>17</v>
      </c>
      <c r="W35" s="775">
        <f t="shared" si="14"/>
        <v>100</v>
      </c>
      <c r="X35" s="1808"/>
      <c r="Y35" s="3341" t="s">
        <v>2518</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41"/>
      <c r="Q36" s="1805" t="str">
        <f t="shared" si="11"/>
        <v>内部装修</v>
      </c>
      <c r="R36" s="774" t="s">
        <v>17</v>
      </c>
      <c r="S36" s="775">
        <f t="shared" si="12"/>
        <v>100</v>
      </c>
      <c r="T36" s="774" t="s">
        <v>17</v>
      </c>
      <c r="U36" s="775">
        <f t="shared" si="13"/>
        <v>100</v>
      </c>
      <c r="V36" s="774" t="s">
        <v>17</v>
      </c>
      <c r="W36" s="775">
        <f t="shared" si="14"/>
        <v>100</v>
      </c>
      <c r="X36" s="1808"/>
      <c r="Y36" s="3341"/>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41"/>
      <c r="Q37" s="1805" t="str">
        <f t="shared" si="11"/>
        <v>内部装修状况</v>
      </c>
      <c r="R37" s="774" t="s">
        <v>17</v>
      </c>
      <c r="S37" s="775">
        <f t="shared" si="12"/>
        <v>100</v>
      </c>
      <c r="T37" s="774" t="s">
        <v>17</v>
      </c>
      <c r="U37" s="775">
        <f t="shared" si="13"/>
        <v>100</v>
      </c>
      <c r="V37" s="774" t="s">
        <v>17</v>
      </c>
      <c r="W37" s="775">
        <f t="shared" si="14"/>
        <v>100</v>
      </c>
      <c r="X37" s="1808"/>
      <c r="Y37" s="3341"/>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41"/>
      <c r="Q38" s="776">
        <f t="shared" si="11"/>
        <v>111</v>
      </c>
      <c r="R38" s="777" t="s">
        <v>17</v>
      </c>
      <c r="S38" s="778">
        <f t="shared" si="12"/>
        <v>100</v>
      </c>
      <c r="T38" s="777" t="s">
        <v>17</v>
      </c>
      <c r="U38" s="778">
        <f t="shared" si="13"/>
        <v>100</v>
      </c>
      <c r="V38" s="777" t="s">
        <v>17</v>
      </c>
      <c r="W38" s="778">
        <f t="shared" si="14"/>
        <v>100</v>
      </c>
      <c r="X38" s="779"/>
      <c r="Y38" s="3341"/>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41"/>
      <c r="Q39" s="1805">
        <f t="shared" si="11"/>
        <v>111</v>
      </c>
      <c r="R39" s="774" t="s">
        <v>17</v>
      </c>
      <c r="S39" s="775">
        <f t="shared" si="12"/>
        <v>100</v>
      </c>
      <c r="T39" s="774" t="s">
        <v>17</v>
      </c>
      <c r="U39" s="775">
        <f t="shared" si="13"/>
        <v>100</v>
      </c>
      <c r="V39" s="774" t="s">
        <v>17</v>
      </c>
      <c r="W39" s="775">
        <f t="shared" si="14"/>
        <v>100</v>
      </c>
      <c r="X39" s="1808"/>
      <c r="Y39" s="3341"/>
      <c r="Z39" s="1809">
        <f t="shared" si="15"/>
        <v>111</v>
      </c>
      <c r="AA39" s="1806">
        <f t="shared" si="3"/>
        <v>1</v>
      </c>
      <c r="AB39" s="1806">
        <f t="shared" si="4"/>
        <v>1</v>
      </c>
      <c r="AC39" s="1806">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42"/>
      <c r="Q40" s="1805">
        <f t="shared" si="11"/>
        <v>111</v>
      </c>
      <c r="R40" s="774" t="s">
        <v>17</v>
      </c>
      <c r="S40" s="775">
        <f t="shared" si="12"/>
        <v>100</v>
      </c>
      <c r="T40" s="774" t="s">
        <v>17</v>
      </c>
      <c r="U40" s="775">
        <f t="shared" si="13"/>
        <v>100</v>
      </c>
      <c r="V40" s="774" t="s">
        <v>17</v>
      </c>
      <c r="W40" s="775">
        <f t="shared" si="14"/>
        <v>100</v>
      </c>
      <c r="X40" s="1808"/>
      <c r="Y40" s="3342"/>
      <c r="Z40" s="1809">
        <f t="shared" si="15"/>
        <v>111</v>
      </c>
      <c r="AA40" s="1806">
        <f t="shared" si="3"/>
        <v>1</v>
      </c>
      <c r="AB40" s="1806">
        <f t="shared" si="4"/>
        <v>1</v>
      </c>
      <c r="AC40" s="1806">
        <f t="shared" si="5"/>
        <v>1</v>
      </c>
    </row>
    <row r="41" spans="1:29" ht="15">
      <c r="A41" s="479" t="s">
        <v>2530</v>
      </c>
      <c r="B41" s="480"/>
      <c r="C41" s="1403" t="s">
        <v>1</v>
      </c>
      <c r="D41" s="1404"/>
      <c r="E41" s="1405"/>
      <c r="F41" s="1406"/>
      <c r="G41" s="1407"/>
      <c r="H41" s="1408"/>
      <c r="I41" s="1405"/>
      <c r="J41" s="1408"/>
      <c r="K41" s="783"/>
      <c r="L41" s="1139"/>
      <c r="M41" s="1140"/>
      <c r="N41" s="1127"/>
      <c r="O41" s="1140"/>
      <c r="P41" s="3334" t="str">
        <f>A41</f>
        <v>成交单价（元/平方米）</v>
      </c>
      <c r="Q41" s="3334"/>
      <c r="R41" s="3335">
        <f>E41</f>
        <v>0</v>
      </c>
      <c r="S41" s="3335"/>
      <c r="T41" s="3335">
        <f>G41</f>
        <v>0</v>
      </c>
      <c r="U41" s="3335"/>
      <c r="V41" s="3335">
        <f>I41</f>
        <v>0</v>
      </c>
      <c r="W41" s="3335"/>
      <c r="X41" s="759"/>
      <c r="Y41" s="781"/>
      <c r="Z41" s="759"/>
      <c r="AA41" s="759"/>
      <c r="AB41" s="759"/>
      <c r="AC41" s="759"/>
    </row>
    <row r="42" spans="1:29" ht="15.75" thickBot="1">
      <c r="A42" s="486" t="s">
        <v>2622</v>
      </c>
      <c r="B42" s="487"/>
      <c r="C42" s="1409" t="e">
        <f>R43</f>
        <v>#DIV/0!</v>
      </c>
      <c r="D42" s="1410"/>
      <c r="E42" s="1411" t="e">
        <f>R42</f>
        <v>#DIV/0!</v>
      </c>
      <c r="F42" s="1411"/>
      <c r="G42" s="1409" t="e">
        <f>T42</f>
        <v>#DIV/0!</v>
      </c>
      <c r="H42" s="1410"/>
      <c r="I42" s="1411" t="e">
        <f>V42</f>
        <v>#DIV/0!</v>
      </c>
      <c r="J42" s="1410"/>
      <c r="K42" s="784"/>
      <c r="L42" s="1139"/>
      <c r="M42" s="1140"/>
      <c r="N42" s="1127"/>
      <c r="O42" s="1140"/>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9"/>
      <c r="Y42" s="759"/>
      <c r="Z42" s="759"/>
      <c r="AA42" s="759"/>
      <c r="AB42" s="759"/>
      <c r="AC42" s="759"/>
    </row>
    <row r="43" spans="1:29" ht="15.75" thickBot="1">
      <c r="A43" s="492" t="s">
        <v>2623</v>
      </c>
      <c r="B43" s="493"/>
      <c r="C43" s="1413" t="e">
        <f>R43</f>
        <v>#DIV/0!</v>
      </c>
      <c r="D43" s="1413"/>
      <c r="E43" s="1413"/>
      <c r="F43" s="1413"/>
      <c r="G43" s="1413"/>
      <c r="H43" s="1413"/>
      <c r="I43" s="1413"/>
      <c r="J43" s="1413"/>
      <c r="K43" s="785"/>
      <c r="L43" s="1139"/>
      <c r="M43" s="1140"/>
      <c r="N43" s="1140"/>
      <c r="O43" s="1140"/>
      <c r="P43" s="3331" t="str">
        <f>A43</f>
        <v>估价对象XX用房的比较价值（楼面单价，元/平方米）</v>
      </c>
      <c r="Q43" s="3332"/>
      <c r="R43" s="3333" t="e">
        <f>IF(F1="售价",ROUND(AVERAGE(R42:V42),0),ROUND(AVERAGE(R42:V42),1))</f>
        <v>#DIV/0!</v>
      </c>
      <c r="S43" s="3333"/>
      <c r="T43" s="3333"/>
      <c r="U43" s="3333"/>
      <c r="V43" s="3333"/>
      <c r="W43" s="3333"/>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2627</v>
      </c>
      <c r="B51" s="759"/>
      <c r="C51" s="764"/>
      <c r="D51" s="764"/>
      <c r="E51" s="764"/>
      <c r="F51" s="765"/>
      <c r="G51" s="765"/>
      <c r="H51" s="764"/>
      <c r="I51" s="764"/>
      <c r="J51" s="764"/>
      <c r="K51" s="1156"/>
      <c r="L51" s="1157"/>
      <c r="M51" s="1155"/>
      <c r="N51" s="1155"/>
      <c r="O51" s="1155"/>
      <c r="P51" s="503"/>
      <c r="Q51" s="504"/>
    </row>
    <row r="52" spans="1:17" s="508" customFormat="1" ht="15">
      <c r="A52" s="505" t="s">
        <v>2501</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2"/>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16" stopIfTrue="1" operator="containsText" text="超过">
      <formula>NOT(ISERROR(SEARCH("超过",F46)))</formula>
    </cfRule>
  </conditionalFormatting>
  <conditionalFormatting sqref="H48">
    <cfRule type="containsText" dxfId="121" priority="15" stopIfTrue="1" operator="containsText" text="超过">
      <formula>NOT(ISERROR(SEARCH("超过",H48)))</formula>
    </cfRule>
  </conditionalFormatting>
  <conditionalFormatting sqref="F48">
    <cfRule type="containsText" dxfId="120" priority="14" stopIfTrue="1" operator="containsText" text="超过">
      <formula>NOT(ISERROR(SEARCH("超过",F48)))</formula>
    </cfRule>
  </conditionalFormatting>
  <conditionalFormatting sqref="F47 H47">
    <cfRule type="containsText" dxfId="119" priority="13" stopIfTrue="1" operator="containsText" text="超过">
      <formula>NOT(ISERROR(SEARCH("超过",F47)))</formula>
    </cfRule>
  </conditionalFormatting>
  <conditionalFormatting sqref="E46">
    <cfRule type="expression" dxfId="118" priority="12" stopIfTrue="1">
      <formula>$F$46="超过30%"</formula>
    </cfRule>
  </conditionalFormatting>
  <conditionalFormatting sqref="E47">
    <cfRule type="expression" dxfId="117" priority="11" stopIfTrue="1">
      <formula>$F$47="超过20%"</formula>
    </cfRule>
  </conditionalFormatting>
  <conditionalFormatting sqref="E48">
    <cfRule type="expression" dxfId="116" priority="10" stopIfTrue="1">
      <formula>$F$48="超过30%"</formula>
    </cfRule>
  </conditionalFormatting>
  <conditionalFormatting sqref="G48">
    <cfRule type="expression" dxfId="115" priority="9" stopIfTrue="1">
      <formula>$H$48="超过30%"</formula>
    </cfRule>
  </conditionalFormatting>
  <conditionalFormatting sqref="G46">
    <cfRule type="expression" dxfId="114" priority="8" stopIfTrue="1">
      <formula>$H$46="超过30%"</formula>
    </cfRule>
  </conditionalFormatting>
  <conditionalFormatting sqref="G47">
    <cfRule type="expression" dxfId="113" priority="7" stopIfTrue="1">
      <formula>$H$47="超过20%"</formula>
    </cfRule>
  </conditionalFormatting>
  <conditionalFormatting sqref="J46">
    <cfRule type="containsText" dxfId="112" priority="6" stopIfTrue="1" operator="containsText" text="超过">
      <formula>NOT(ISERROR(SEARCH("超过",J46)))</formula>
    </cfRule>
  </conditionalFormatting>
  <conditionalFormatting sqref="J48">
    <cfRule type="containsText" dxfId="111" priority="5" stopIfTrue="1" operator="containsText" text="超过">
      <formula>NOT(ISERROR(SEARCH("超过",J48)))</formula>
    </cfRule>
  </conditionalFormatting>
  <conditionalFormatting sqref="J47">
    <cfRule type="containsText" dxfId="110" priority="4" stopIfTrue="1" operator="containsText" text="超过">
      <formula>NOT(ISERROR(SEARCH("超过",J47)))</formula>
    </cfRule>
  </conditionalFormatting>
  <conditionalFormatting sqref="I46">
    <cfRule type="expression" dxfId="109" priority="3" stopIfTrue="1">
      <formula>$J$46="超过30%"</formula>
    </cfRule>
  </conditionalFormatting>
  <conditionalFormatting sqref="I47">
    <cfRule type="expression" dxfId="108" priority="2" stopIfTrue="1">
      <formula>$J$47="超过20%"</formula>
    </cfRule>
  </conditionalFormatting>
  <conditionalFormatting sqref="I48">
    <cfRule type="expression" dxfId="10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IF(C2="——",ROUND(C37*D3/10000,0),ROUND(C37*D3/10000,0)-D2)</f>
        <v>#DIV/0!</v>
      </c>
      <c r="C2" s="2582"/>
      <c r="D2" s="1120" t="e">
        <f ca="1">SUMIF(INDIRECT("'"&amp;F2&amp;"'"&amp;"!A:A"),"承租人权益价值",INDIRECT("'"&amp;F2&amp;"'"&amp;"!c:c"))</f>
        <v>#REF!</v>
      </c>
      <c r="E2" s="2583" t="s">
        <v>2281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00" t="s">
        <v>2601</v>
      </c>
      <c r="AC4" s="3299" t="s">
        <v>2602</v>
      </c>
    </row>
    <row r="5" spans="1:29" ht="15">
      <c r="A5" s="404"/>
      <c r="B5" s="405"/>
      <c r="C5" s="3310" t="s">
        <v>2495</v>
      </c>
      <c r="D5" s="3311"/>
      <c r="E5" s="3308" t="s">
        <v>2496</v>
      </c>
      <c r="F5" s="3309"/>
      <c r="G5" s="3310" t="s">
        <v>2497</v>
      </c>
      <c r="H5" s="3311"/>
      <c r="I5" s="3310" t="s">
        <v>2498</v>
      </c>
      <c r="J5" s="3311"/>
      <c r="K5" s="610"/>
      <c r="L5" s="1126"/>
      <c r="M5" s="1127"/>
      <c r="N5" s="1127"/>
      <c r="O5" s="1127"/>
      <c r="P5" s="3323"/>
      <c r="Q5" s="3324"/>
      <c r="R5" s="3306"/>
      <c r="S5" s="3307"/>
      <c r="T5" s="3306"/>
      <c r="U5" s="3307"/>
      <c r="V5" s="3329"/>
      <c r="W5" s="3329"/>
      <c r="X5" s="1808"/>
      <c r="Y5" s="3306"/>
      <c r="Z5" s="3307"/>
      <c r="AA5" s="3300"/>
      <c r="AB5" s="3300"/>
      <c r="AC5" s="3300"/>
    </row>
    <row r="6" spans="1:29" ht="15.75" thickBot="1">
      <c r="A6" s="406"/>
      <c r="B6" s="407"/>
      <c r="C6" s="3312" t="s">
        <v>2499</v>
      </c>
      <c r="D6" s="3313"/>
      <c r="E6" s="3314" t="s">
        <v>2499</v>
      </c>
      <c r="F6" s="3315"/>
      <c r="G6" s="3312" t="s">
        <v>2499</v>
      </c>
      <c r="H6" s="3313"/>
      <c r="I6" s="3312" t="s">
        <v>2499</v>
      </c>
      <c r="J6" s="3313"/>
      <c r="K6" s="610" t="s">
        <v>2500</v>
      </c>
      <c r="L6" s="1126"/>
      <c r="M6" s="1127"/>
      <c r="N6" s="1127"/>
      <c r="O6" s="1127"/>
      <c r="P6" s="3325"/>
      <c r="Q6" s="3326"/>
      <c r="R6" s="3306"/>
      <c r="S6" s="3307"/>
      <c r="T6" s="3327"/>
      <c r="U6" s="3328"/>
      <c r="V6" s="3329"/>
      <c r="W6" s="3329"/>
      <c r="X6" s="1808"/>
      <c r="Y6" s="3327"/>
      <c r="Z6" s="3328"/>
      <c r="AA6" s="3301"/>
      <c r="AB6" s="3301"/>
      <c r="AC6" s="3301"/>
    </row>
    <row r="7" spans="1:29" s="117" customFormat="1" ht="15.75" thickBot="1">
      <c r="A7" s="408" t="s">
        <v>2501</v>
      </c>
      <c r="B7" s="409"/>
      <c r="C7" s="410">
        <f>'数据-取费表'!B2</f>
        <v>43795</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302" t="s">
        <v>2502</v>
      </c>
      <c r="Q7" s="3330"/>
      <c r="R7" s="770" t="s">
        <v>17</v>
      </c>
      <c r="S7" s="771">
        <f t="shared" ref="S7:S14" si="0">F7</f>
        <v>0</v>
      </c>
      <c r="T7" s="770" t="s">
        <v>17</v>
      </c>
      <c r="U7" s="771">
        <f t="shared" ref="U7:U14" si="1">H7</f>
        <v>0</v>
      </c>
      <c r="V7" s="770" t="s">
        <v>17</v>
      </c>
      <c r="W7" s="771">
        <f t="shared" ref="W7:W14" si="2">J7</f>
        <v>0</v>
      </c>
      <c r="X7" s="772"/>
      <c r="Y7" s="3302" t="s">
        <v>2502</v>
      </c>
      <c r="Z7" s="3303"/>
      <c r="AA7" s="773" t="e">
        <f>D7/F7</f>
        <v>#DIV/0!</v>
      </c>
      <c r="AB7" s="773" t="e">
        <f>D7/H7</f>
        <v>#DIV/0!</v>
      </c>
      <c r="AC7" s="773"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02" t="s">
        <v>2505</v>
      </c>
      <c r="Q8" s="3303"/>
      <c r="R8" s="770" t="s">
        <v>17</v>
      </c>
      <c r="S8" s="771">
        <f t="shared" si="0"/>
        <v>0</v>
      </c>
      <c r="T8" s="770" t="s">
        <v>17</v>
      </c>
      <c r="U8" s="771">
        <f t="shared" si="1"/>
        <v>0</v>
      </c>
      <c r="V8" s="770" t="s">
        <v>17</v>
      </c>
      <c r="W8" s="771">
        <f t="shared" si="2"/>
        <v>0</v>
      </c>
      <c r="X8" s="772"/>
      <c r="Y8" s="3302" t="s">
        <v>2505</v>
      </c>
      <c r="Z8" s="3303"/>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334" t="s">
        <v>2508</v>
      </c>
      <c r="Q9" s="1790" t="str">
        <f t="shared" ref="Q9:Q14" si="6">B9</f>
        <v>用途</v>
      </c>
      <c r="R9" s="770" t="s">
        <v>17</v>
      </c>
      <c r="S9" s="771">
        <f t="shared" si="0"/>
        <v>100</v>
      </c>
      <c r="T9" s="770" t="s">
        <v>17</v>
      </c>
      <c r="U9" s="771">
        <f t="shared" si="1"/>
        <v>100</v>
      </c>
      <c r="V9" s="770" t="s">
        <v>17</v>
      </c>
      <c r="W9" s="771">
        <f t="shared" si="2"/>
        <v>100</v>
      </c>
      <c r="X9" s="772"/>
      <c r="Y9" s="3146"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334"/>
      <c r="Q10" s="1790" t="str">
        <f t="shared" si="6"/>
        <v>土地使用年限（年）</v>
      </c>
      <c r="R10" s="770" t="s">
        <v>17</v>
      </c>
      <c r="S10" s="771">
        <f t="shared" si="0"/>
        <v>100</v>
      </c>
      <c r="T10" s="770" t="s">
        <v>17</v>
      </c>
      <c r="U10" s="771">
        <f t="shared" si="1"/>
        <v>100</v>
      </c>
      <c r="V10" s="770" t="s">
        <v>17</v>
      </c>
      <c r="W10" s="771">
        <f t="shared" si="2"/>
        <v>100</v>
      </c>
      <c r="X10" s="772"/>
      <c r="Y10" s="314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334"/>
      <c r="Q11" s="1790">
        <f t="shared" si="6"/>
        <v>111</v>
      </c>
      <c r="R11" s="770" t="s">
        <v>17</v>
      </c>
      <c r="S11" s="771">
        <f t="shared" si="0"/>
        <v>100</v>
      </c>
      <c r="T11" s="770" t="s">
        <v>17</v>
      </c>
      <c r="U11" s="771">
        <f t="shared" si="1"/>
        <v>100</v>
      </c>
      <c r="V11" s="770" t="s">
        <v>17</v>
      </c>
      <c r="W11" s="771">
        <f t="shared" si="2"/>
        <v>100</v>
      </c>
      <c r="X11" s="772"/>
      <c r="Y11" s="314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334"/>
      <c r="Q12" s="1790">
        <f t="shared" si="6"/>
        <v>111</v>
      </c>
      <c r="R12" s="770" t="s">
        <v>17</v>
      </c>
      <c r="S12" s="771">
        <f t="shared" si="0"/>
        <v>100</v>
      </c>
      <c r="T12" s="770" t="s">
        <v>17</v>
      </c>
      <c r="U12" s="771">
        <f t="shared" si="1"/>
        <v>100</v>
      </c>
      <c r="V12" s="770" t="s">
        <v>17</v>
      </c>
      <c r="W12" s="771">
        <f t="shared" si="2"/>
        <v>100</v>
      </c>
      <c r="X12" s="772"/>
      <c r="Y12" s="3146"/>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334"/>
      <c r="Q13" s="1790">
        <f t="shared" si="6"/>
        <v>111</v>
      </c>
      <c r="R13" s="770" t="s">
        <v>17</v>
      </c>
      <c r="S13" s="771">
        <f t="shared" si="0"/>
        <v>100</v>
      </c>
      <c r="T13" s="770" t="s">
        <v>17</v>
      </c>
      <c r="U13" s="771">
        <f t="shared" si="1"/>
        <v>100</v>
      </c>
      <c r="V13" s="770" t="s">
        <v>17</v>
      </c>
      <c r="W13" s="771">
        <f t="shared" si="2"/>
        <v>100</v>
      </c>
      <c r="X13" s="772"/>
      <c r="Y13" s="3146"/>
      <c r="Z13" s="55">
        <f t="shared" si="7"/>
        <v>111</v>
      </c>
      <c r="AA13" s="773">
        <f t="shared" si="3"/>
        <v>1</v>
      </c>
      <c r="AB13" s="773">
        <f t="shared" si="4"/>
        <v>1</v>
      </c>
      <c r="AC13" s="773">
        <f t="shared" si="5"/>
        <v>1</v>
      </c>
    </row>
    <row r="14" spans="1:29" ht="156.75">
      <c r="A14" s="440" t="s">
        <v>2512</v>
      </c>
      <c r="B14" s="6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36" t="s">
        <v>2513</v>
      </c>
      <c r="Q14" s="1805" t="str">
        <f t="shared" si="6"/>
        <v>交通便捷度</v>
      </c>
      <c r="R14" s="774" t="s">
        <v>17</v>
      </c>
      <c r="S14" s="775">
        <f t="shared" si="0"/>
        <v>100</v>
      </c>
      <c r="T14" s="774" t="s">
        <v>17</v>
      </c>
      <c r="U14" s="775">
        <f t="shared" si="1"/>
        <v>100</v>
      </c>
      <c r="V14" s="774" t="s">
        <v>17</v>
      </c>
      <c r="W14" s="775">
        <f t="shared" si="2"/>
        <v>100</v>
      </c>
      <c r="X14" s="1808"/>
      <c r="Y14" s="3336" t="s">
        <v>2513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337"/>
      <c r="Q15" s="1805"/>
      <c r="R15" s="774"/>
      <c r="S15" s="775"/>
      <c r="T15" s="774"/>
      <c r="U15" s="775"/>
      <c r="V15" s="774"/>
      <c r="W15" s="775"/>
      <c r="X15" s="1808"/>
      <c r="Y15" s="3337"/>
      <c r="Z15" s="1809"/>
      <c r="AA15" s="1806">
        <v>1</v>
      </c>
      <c r="AB15" s="1806">
        <v>1</v>
      </c>
      <c r="AC15" s="1806">
        <v>1</v>
      </c>
    </row>
    <row r="16" spans="1:29" ht="42.75">
      <c r="A16" s="428"/>
      <c r="B16" s="451" t="s">
        <v>2641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37"/>
      <c r="Q16" s="1805" t="str">
        <f>B16</f>
        <v>公共配套设施</v>
      </c>
      <c r="R16" s="774" t="s">
        <v>17</v>
      </c>
      <c r="S16" s="775">
        <f>F16</f>
        <v>100</v>
      </c>
      <c r="T16" s="774" t="s">
        <v>17</v>
      </c>
      <c r="U16" s="775">
        <f>H16</f>
        <v>100</v>
      </c>
      <c r="V16" s="774" t="s">
        <v>17</v>
      </c>
      <c r="W16" s="775">
        <f>J16</f>
        <v>100</v>
      </c>
      <c r="X16" s="1808"/>
      <c r="Y16" s="3337"/>
      <c r="Z16" s="1809" t="str">
        <f>Q16</f>
        <v>公共配套设施</v>
      </c>
      <c r="AA16" s="1806">
        <f t="shared" si="3"/>
        <v>1</v>
      </c>
      <c r="AB16" s="1806">
        <f t="shared" si="4"/>
        <v>1</v>
      </c>
      <c r="AC16" s="1806">
        <f t="shared" si="5"/>
        <v>1</v>
      </c>
    </row>
    <row r="17" spans="1:29" ht="15">
      <c r="A17" s="428"/>
      <c r="B17" s="456"/>
      <c r="C17" s="2604"/>
      <c r="D17" s="448"/>
      <c r="E17" s="447"/>
      <c r="F17" s="449"/>
      <c r="G17" s="447"/>
      <c r="H17" s="448"/>
      <c r="I17" s="447"/>
      <c r="J17" s="448"/>
      <c r="K17" s="615"/>
      <c r="L17" s="1136"/>
      <c r="M17" s="1127"/>
      <c r="N17" s="1127"/>
      <c r="O17" s="1135"/>
      <c r="P17" s="3337"/>
      <c r="Q17" s="1805"/>
      <c r="R17" s="774"/>
      <c r="S17" s="775"/>
      <c r="T17" s="774"/>
      <c r="U17" s="775"/>
      <c r="V17" s="774"/>
      <c r="W17" s="775"/>
      <c r="X17" s="1808"/>
      <c r="Y17" s="3337"/>
      <c r="Z17" s="1809"/>
      <c r="AA17" s="1806">
        <v>1</v>
      </c>
      <c r="AB17" s="1806">
        <v>1</v>
      </c>
      <c r="AC17" s="1806">
        <v>1</v>
      </c>
    </row>
    <row r="18" spans="1:29" ht="42.75">
      <c r="A18" s="428"/>
      <c r="B18" s="1380" t="s">
        <v>2642</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37"/>
      <c r="Q18" s="1805" t="str">
        <f>B18</f>
        <v>基础设施水平</v>
      </c>
      <c r="R18" s="774" t="s">
        <v>17</v>
      </c>
      <c r="S18" s="775">
        <f>F18</f>
        <v>100</v>
      </c>
      <c r="T18" s="774" t="s">
        <v>17</v>
      </c>
      <c r="U18" s="775">
        <f>H18</f>
        <v>100</v>
      </c>
      <c r="V18" s="774" t="s">
        <v>17</v>
      </c>
      <c r="W18" s="775">
        <f>J18</f>
        <v>100</v>
      </c>
      <c r="X18" s="1808"/>
      <c r="Y18" s="3337"/>
      <c r="Z18" s="1809" t="str">
        <f>Q18</f>
        <v>基础设施水平</v>
      </c>
      <c r="AA18" s="1806">
        <f t="shared" ref="AA18" si="8">D18/F18</f>
        <v>1</v>
      </c>
      <c r="AB18" s="1806">
        <f t="shared" ref="AB18" si="9">D18/H18</f>
        <v>1</v>
      </c>
      <c r="AC18" s="1806">
        <f t="shared" ref="AC18" si="10">D18/J18</f>
        <v>1</v>
      </c>
    </row>
    <row r="19" spans="1:29" ht="15">
      <c r="A19" s="428"/>
      <c r="B19" s="1380"/>
      <c r="C19" s="2604"/>
      <c r="D19" s="450"/>
      <c r="E19" s="2604"/>
      <c r="F19" s="453"/>
      <c r="G19" s="2604"/>
      <c r="H19" s="448"/>
      <c r="I19" s="447"/>
      <c r="J19" s="448"/>
      <c r="K19" s="1379"/>
      <c r="L19" s="1136"/>
      <c r="M19" s="1127"/>
      <c r="N19" s="1127"/>
      <c r="O19" s="1135"/>
      <c r="P19" s="3337"/>
      <c r="Q19" s="1805"/>
      <c r="R19" s="774"/>
      <c r="S19" s="775"/>
      <c r="T19" s="774"/>
      <c r="U19" s="775"/>
      <c r="V19" s="774"/>
      <c r="W19" s="775"/>
      <c r="X19" s="1808"/>
      <c r="Y19" s="3337"/>
      <c r="Z19" s="1809"/>
      <c r="AA19" s="1806">
        <v>1</v>
      </c>
      <c r="AB19" s="1806">
        <v>1</v>
      </c>
      <c r="AC19" s="1806">
        <v>1</v>
      </c>
    </row>
    <row r="20" spans="1:29" ht="99.75">
      <c r="A20" s="428"/>
      <c r="B20" s="451" t="s">
        <v>2663</v>
      </c>
      <c r="C20" s="2603" t="str">
        <f>IF(B1="工业",估价对象房地状况!G7,估价对象房地状况!C9)</f>
        <v>区域自然环境好：周边临近朝阳公园；人文环境好：周边临近农业展览馆；综合评价环境状况好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37"/>
      <c r="Q20" s="1805" t="str">
        <f>B20</f>
        <v>自然及人文环境</v>
      </c>
      <c r="R20" s="774" t="s">
        <v>17</v>
      </c>
      <c r="S20" s="775">
        <f>F20</f>
        <v>100</v>
      </c>
      <c r="T20" s="774" t="s">
        <v>17</v>
      </c>
      <c r="U20" s="775">
        <f>H20</f>
        <v>100</v>
      </c>
      <c r="V20" s="774" t="s">
        <v>17</v>
      </c>
      <c r="W20" s="775">
        <f>J20</f>
        <v>100</v>
      </c>
      <c r="X20" s="1808"/>
      <c r="Y20" s="333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337"/>
      <c r="Q21" s="1805"/>
      <c r="R21" s="774"/>
      <c r="S21" s="775"/>
      <c r="T21" s="774"/>
      <c r="U21" s="775"/>
      <c r="V21" s="774"/>
      <c r="W21" s="775"/>
      <c r="X21" s="1808"/>
      <c r="Y21" s="3337"/>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37"/>
      <c r="Q22" s="1805" t="str">
        <f>B22</f>
        <v>楼层</v>
      </c>
      <c r="R22" s="774" t="s">
        <v>17</v>
      </c>
      <c r="S22" s="775">
        <f>F22</f>
        <v>100</v>
      </c>
      <c r="T22" s="774" t="s">
        <v>17</v>
      </c>
      <c r="U22" s="775">
        <f>H22</f>
        <v>100</v>
      </c>
      <c r="V22" s="774" t="s">
        <v>17</v>
      </c>
      <c r="W22" s="775">
        <f>J22</f>
        <v>100</v>
      </c>
      <c r="X22" s="1808"/>
      <c r="Y22" s="3337"/>
      <c r="Z22" s="1809" t="str">
        <f>Q22</f>
        <v>楼层</v>
      </c>
      <c r="AA22" s="1806">
        <f t="shared" si="3"/>
        <v>1</v>
      </c>
      <c r="AB22" s="1806">
        <f t="shared" si="4"/>
        <v>1</v>
      </c>
      <c r="AC22" s="1806">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37"/>
      <c r="Q23" s="1805">
        <f>B23</f>
        <v>111</v>
      </c>
      <c r="R23" s="774" t="s">
        <v>17</v>
      </c>
      <c r="S23" s="775">
        <f>F23</f>
        <v>100</v>
      </c>
      <c r="T23" s="774" t="s">
        <v>17</v>
      </c>
      <c r="U23" s="775">
        <f>H23</f>
        <v>100</v>
      </c>
      <c r="V23" s="774" t="s">
        <v>17</v>
      </c>
      <c r="W23" s="775">
        <f>J23</f>
        <v>100</v>
      </c>
      <c r="X23" s="1808"/>
      <c r="Y23" s="3337"/>
      <c r="Z23" s="1809">
        <f>Q23</f>
        <v>111</v>
      </c>
      <c r="AA23" s="1806">
        <f t="shared" si="3"/>
        <v>1</v>
      </c>
      <c r="AB23" s="1806">
        <f t="shared" si="4"/>
        <v>1</v>
      </c>
      <c r="AC23" s="1806">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37"/>
      <c r="Q24" s="1805">
        <f t="shared" ref="Q24:Q34" si="11">B24</f>
        <v>111</v>
      </c>
      <c r="R24" s="774" t="s">
        <v>17</v>
      </c>
      <c r="S24" s="775">
        <f>F24</f>
        <v>100</v>
      </c>
      <c r="T24" s="774" t="s">
        <v>17</v>
      </c>
      <c r="U24" s="775">
        <f>H24</f>
        <v>100</v>
      </c>
      <c r="V24" s="774" t="s">
        <v>17</v>
      </c>
      <c r="W24" s="775">
        <f>J24</f>
        <v>100</v>
      </c>
      <c r="X24" s="1808"/>
      <c r="Y24" s="3337"/>
      <c r="Z24" s="1809">
        <f>Q24</f>
        <v>111</v>
      </c>
      <c r="AA24" s="1806">
        <f t="shared" si="3"/>
        <v>1</v>
      </c>
      <c r="AB24" s="1806">
        <f t="shared" si="4"/>
        <v>1</v>
      </c>
      <c r="AC24" s="1806">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337"/>
      <c r="Q25" s="1790">
        <f t="shared" si="11"/>
        <v>111</v>
      </c>
      <c r="R25" s="770" t="s">
        <v>17</v>
      </c>
      <c r="S25" s="771">
        <f>F25</f>
        <v>100</v>
      </c>
      <c r="T25" s="770" t="s">
        <v>17</v>
      </c>
      <c r="U25" s="771">
        <f>H25</f>
        <v>100</v>
      </c>
      <c r="V25" s="770" t="s">
        <v>17</v>
      </c>
      <c r="W25" s="771">
        <f>J25</f>
        <v>100</v>
      </c>
      <c r="X25" s="772"/>
      <c r="Y25" s="3337"/>
      <c r="Z25" s="55">
        <f>Q25</f>
        <v>111</v>
      </c>
      <c r="AA25" s="1806">
        <f>D25/F25</f>
        <v>1</v>
      </c>
      <c r="AB25" s="1806">
        <f>D25/H25</f>
        <v>1</v>
      </c>
      <c r="AC25" s="1806">
        <f>D25/J25</f>
        <v>1</v>
      </c>
    </row>
    <row r="26" spans="1:29" ht="28.5">
      <c r="A26" s="466" t="s">
        <v>2516</v>
      </c>
      <c r="B26" s="71" t="s">
        <v>2667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386" t="s">
        <v>2518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341" t="s">
        <v>2518</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41"/>
      <c r="Q27" s="776" t="str">
        <f t="shared" si="11"/>
        <v>成新率</v>
      </c>
      <c r="R27" s="777" t="s">
        <v>17</v>
      </c>
      <c r="S27" s="778" t="e">
        <f t="shared" si="12"/>
        <v>#N/A</v>
      </c>
      <c r="T27" s="777" t="s">
        <v>17</v>
      </c>
      <c r="U27" s="778" t="e">
        <f t="shared" si="13"/>
        <v>#N/A</v>
      </c>
      <c r="V27" s="777" t="s">
        <v>17</v>
      </c>
      <c r="W27" s="778" t="e">
        <f t="shared" si="14"/>
        <v>#N/A</v>
      </c>
      <c r="X27" s="779"/>
      <c r="Y27" s="3341"/>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41"/>
      <c r="Q28" s="1805" t="str">
        <f t="shared" si="11"/>
        <v>物业等级</v>
      </c>
      <c r="R28" s="774" t="s">
        <v>17</v>
      </c>
      <c r="S28" s="775">
        <f t="shared" si="12"/>
        <v>100</v>
      </c>
      <c r="T28" s="774" t="s">
        <v>17</v>
      </c>
      <c r="U28" s="775">
        <f t="shared" si="13"/>
        <v>100</v>
      </c>
      <c r="V28" s="774" t="s">
        <v>17</v>
      </c>
      <c r="W28" s="775">
        <f t="shared" si="14"/>
        <v>100</v>
      </c>
      <c r="X28" s="1808"/>
      <c r="Y28" s="3341"/>
      <c r="Z28" s="1809" t="str">
        <f t="shared" si="15"/>
        <v>物业等级</v>
      </c>
      <c r="AA28" s="1806">
        <f t="shared" si="3"/>
        <v>1</v>
      </c>
      <c r="AB28" s="1806">
        <f t="shared" si="4"/>
        <v>1</v>
      </c>
      <c r="AC28" s="1806">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341"/>
      <c r="Q29" s="1805" t="str">
        <f t="shared" si="11"/>
        <v>有无电梯</v>
      </c>
      <c r="R29" s="774" t="s">
        <v>17</v>
      </c>
      <c r="S29" s="775">
        <f t="shared" si="12"/>
        <v>100</v>
      </c>
      <c r="T29" s="774" t="s">
        <v>17</v>
      </c>
      <c r="U29" s="775">
        <f t="shared" si="13"/>
        <v>100</v>
      </c>
      <c r="V29" s="774" t="s">
        <v>17</v>
      </c>
      <c r="W29" s="775">
        <f t="shared" si="14"/>
        <v>100</v>
      </c>
      <c r="X29" s="1808"/>
      <c r="Y29" s="3341"/>
      <c r="Z29" s="1809" t="str">
        <f t="shared" si="15"/>
        <v>有无电梯</v>
      </c>
      <c r="AA29" s="1806">
        <f t="shared" si="3"/>
        <v>1</v>
      </c>
      <c r="AB29" s="1806">
        <f t="shared" si="4"/>
        <v>1</v>
      </c>
      <c r="AC29" s="1806">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41"/>
      <c r="Q30" s="1805" t="str">
        <f t="shared" si="11"/>
        <v>建筑面积</v>
      </c>
      <c r="R30" s="774" t="s">
        <v>17</v>
      </c>
      <c r="S30" s="775" t="e">
        <f t="shared" si="12"/>
        <v>#N/A</v>
      </c>
      <c r="T30" s="774" t="s">
        <v>17</v>
      </c>
      <c r="U30" s="775" t="e">
        <f t="shared" si="13"/>
        <v>#N/A</v>
      </c>
      <c r="V30" s="774" t="s">
        <v>17</v>
      </c>
      <c r="W30" s="775" t="e">
        <f t="shared" si="14"/>
        <v>#N/A</v>
      </c>
      <c r="X30" s="1808"/>
      <c r="Y30" s="3341"/>
      <c r="Z30" s="1809" t="str">
        <f t="shared" si="15"/>
        <v>建筑面积</v>
      </c>
      <c r="AA30" s="1806" t="e">
        <f t="shared" si="3"/>
        <v>#N/A</v>
      </c>
      <c r="AB30" s="1806" t="e">
        <f t="shared" si="4"/>
        <v>#N/A</v>
      </c>
      <c r="AC30" s="1806"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341"/>
      <c r="Q31" s="1790" t="str">
        <f t="shared" si="11"/>
        <v>是否封闭</v>
      </c>
      <c r="R31" s="770" t="s">
        <v>17</v>
      </c>
      <c r="S31" s="771">
        <f t="shared" si="12"/>
        <v>100</v>
      </c>
      <c r="T31" s="770" t="s">
        <v>17</v>
      </c>
      <c r="U31" s="771">
        <f t="shared" si="13"/>
        <v>100</v>
      </c>
      <c r="V31" s="770" t="s">
        <v>17</v>
      </c>
      <c r="W31" s="771">
        <f t="shared" si="14"/>
        <v>100</v>
      </c>
      <c r="X31" s="772"/>
      <c r="Y31" s="3341"/>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41" t="s">
        <v>2518</v>
      </c>
      <c r="Q32" s="1805">
        <f t="shared" si="11"/>
        <v>111</v>
      </c>
      <c r="R32" s="774" t="s">
        <v>17</v>
      </c>
      <c r="S32" s="775">
        <f t="shared" si="12"/>
        <v>100</v>
      </c>
      <c r="T32" s="774" t="s">
        <v>17</v>
      </c>
      <c r="U32" s="775">
        <f t="shared" si="13"/>
        <v>100</v>
      </c>
      <c r="V32" s="774" t="s">
        <v>17</v>
      </c>
      <c r="W32" s="775">
        <f t="shared" si="14"/>
        <v>100</v>
      </c>
      <c r="X32" s="1808"/>
      <c r="Y32" s="3341" t="s">
        <v>2518</v>
      </c>
      <c r="Z32" s="1809">
        <f t="shared" si="15"/>
        <v>111</v>
      </c>
      <c r="AA32" s="1806">
        <f t="shared" si="3"/>
        <v>1</v>
      </c>
      <c r="AB32" s="1806">
        <f t="shared" si="4"/>
        <v>1</v>
      </c>
      <c r="AC32" s="1806">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41"/>
      <c r="Q33" s="1805">
        <f t="shared" si="11"/>
        <v>111</v>
      </c>
      <c r="R33" s="774" t="s">
        <v>17</v>
      </c>
      <c r="S33" s="775">
        <f t="shared" si="12"/>
        <v>100</v>
      </c>
      <c r="T33" s="774" t="s">
        <v>17</v>
      </c>
      <c r="U33" s="775">
        <f t="shared" si="13"/>
        <v>100</v>
      </c>
      <c r="V33" s="774" t="s">
        <v>17</v>
      </c>
      <c r="W33" s="775">
        <f t="shared" si="14"/>
        <v>100</v>
      </c>
      <c r="X33" s="1808"/>
      <c r="Y33" s="3341"/>
      <c r="Z33" s="1809">
        <f t="shared" si="15"/>
        <v>111</v>
      </c>
      <c r="AA33" s="1806">
        <f t="shared" si="3"/>
        <v>1</v>
      </c>
      <c r="AB33" s="1806">
        <f t="shared" si="4"/>
        <v>1</v>
      </c>
      <c r="AC33" s="1806">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341"/>
      <c r="Q34" s="1805">
        <f t="shared" si="11"/>
        <v>111</v>
      </c>
      <c r="R34" s="774" t="s">
        <v>17</v>
      </c>
      <c r="S34" s="775">
        <f t="shared" si="12"/>
        <v>100</v>
      </c>
      <c r="T34" s="774" t="s">
        <v>17</v>
      </c>
      <c r="U34" s="775">
        <f t="shared" si="13"/>
        <v>100</v>
      </c>
      <c r="V34" s="774" t="s">
        <v>17</v>
      </c>
      <c r="W34" s="775">
        <f t="shared" si="14"/>
        <v>100</v>
      </c>
      <c r="X34" s="1808"/>
      <c r="Y34" s="3341"/>
      <c r="Z34" s="1809">
        <f t="shared" si="15"/>
        <v>111</v>
      </c>
      <c r="AA34" s="1806">
        <f t="shared" si="3"/>
        <v>1</v>
      </c>
      <c r="AB34" s="1806">
        <f t="shared" si="4"/>
        <v>1</v>
      </c>
      <c r="AC34" s="1806">
        <f t="shared" si="5"/>
        <v>1</v>
      </c>
    </row>
    <row r="35" spans="1:29" ht="15">
      <c r="A35" s="479" t="s">
        <v>2530</v>
      </c>
      <c r="B35" s="480"/>
      <c r="C35" s="1403" t="s">
        <v>1</v>
      </c>
      <c r="D35" s="1404"/>
      <c r="E35" s="1405"/>
      <c r="F35" s="1406"/>
      <c r="G35" s="1407"/>
      <c r="H35" s="1408"/>
      <c r="I35" s="1405"/>
      <c r="J35" s="1408"/>
      <c r="K35" s="783"/>
      <c r="L35" s="1139"/>
      <c r="M35" s="1140"/>
      <c r="N35" s="1127"/>
      <c r="O35" s="1140"/>
      <c r="P35" s="3334" t="str">
        <f>A35</f>
        <v>成交单价（元/平方米）</v>
      </c>
      <c r="Q35" s="3334"/>
      <c r="R35" s="3335">
        <f>E35</f>
        <v>0</v>
      </c>
      <c r="S35" s="3335"/>
      <c r="T35" s="3335">
        <f>G35</f>
        <v>0</v>
      </c>
      <c r="U35" s="3335"/>
      <c r="V35" s="3335">
        <f>I35</f>
        <v>0</v>
      </c>
      <c r="W35" s="3335"/>
      <c r="X35" s="759"/>
      <c r="Y35" s="781"/>
      <c r="Z35" s="759"/>
      <c r="AA35" s="759"/>
      <c r="AB35" s="759"/>
      <c r="AC35" s="759"/>
    </row>
    <row r="36" spans="1:29" ht="15.75" thickBot="1">
      <c r="A36" s="486" t="s">
        <v>2622</v>
      </c>
      <c r="B36" s="487"/>
      <c r="C36" s="1409" t="e">
        <f>R37</f>
        <v>#DIV/0!</v>
      </c>
      <c r="D36" s="1410"/>
      <c r="E36" s="1411" t="e">
        <f>R36</f>
        <v>#DIV/0!</v>
      </c>
      <c r="F36" s="1411"/>
      <c r="G36" s="1409" t="e">
        <f>T36</f>
        <v>#DIV/0!</v>
      </c>
      <c r="H36" s="1410"/>
      <c r="I36" s="1411" t="e">
        <f>V36</f>
        <v>#DIV/0!</v>
      </c>
      <c r="J36" s="1410"/>
      <c r="K36" s="784"/>
      <c r="L36" s="1139"/>
      <c r="M36" s="1140"/>
      <c r="N36" s="1127"/>
      <c r="O36" s="1140"/>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9"/>
      <c r="Y36" s="759"/>
      <c r="Z36" s="759"/>
      <c r="AA36" s="759"/>
      <c r="AB36" s="759"/>
      <c r="AC36" s="759"/>
    </row>
    <row r="37" spans="1:29" ht="15.75" thickBot="1">
      <c r="A37" s="492" t="s">
        <v>2623</v>
      </c>
      <c r="B37" s="493"/>
      <c r="C37" s="1413" t="e">
        <f>R37</f>
        <v>#DIV/0!</v>
      </c>
      <c r="D37" s="1413"/>
      <c r="E37" s="1413"/>
      <c r="F37" s="1413"/>
      <c r="G37" s="1413"/>
      <c r="H37" s="1413"/>
      <c r="I37" s="1413"/>
      <c r="J37" s="1413"/>
      <c r="K37" s="785"/>
      <c r="L37" s="1139"/>
      <c r="M37" s="1140"/>
      <c r="N37" s="1140"/>
      <c r="O37" s="1140"/>
      <c r="P37" s="3331" t="str">
        <f>A37</f>
        <v>估价对象XX用房的比较价值（楼面单价，元/平方米）</v>
      </c>
      <c r="Q37" s="3332"/>
      <c r="R37" s="3333" t="e">
        <f>IF(F1="售价",ROUND(AVERAGE(R36:V36),0),ROUND(AVERAGE(R36:V36),1))</f>
        <v>#DIV/0!</v>
      </c>
      <c r="S37" s="3333"/>
      <c r="T37" s="3333"/>
      <c r="U37" s="3333"/>
      <c r="V37" s="3333"/>
      <c r="W37" s="3333"/>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00" t="s">
        <v>2601</v>
      </c>
      <c r="AC4" s="3299" t="s">
        <v>2602</v>
      </c>
    </row>
    <row r="5" spans="1:30" ht="15">
      <c r="A5" s="404"/>
      <c r="B5" s="405"/>
      <c r="C5" s="3310" t="s">
        <v>2495</v>
      </c>
      <c r="D5" s="3311"/>
      <c r="E5" s="3308" t="s">
        <v>2496</v>
      </c>
      <c r="F5" s="3309"/>
      <c r="G5" s="3310" t="s">
        <v>2497</v>
      </c>
      <c r="H5" s="3311"/>
      <c r="I5" s="3310" t="s">
        <v>2498</v>
      </c>
      <c r="J5" s="3311"/>
      <c r="K5" s="610"/>
      <c r="L5" s="1126"/>
      <c r="M5" s="1127"/>
      <c r="N5" s="1127"/>
      <c r="O5" s="1127"/>
      <c r="P5" s="3323"/>
      <c r="Q5" s="3324"/>
      <c r="R5" s="3306"/>
      <c r="S5" s="3307"/>
      <c r="T5" s="3306"/>
      <c r="U5" s="3307"/>
      <c r="V5" s="3329"/>
      <c r="W5" s="3329"/>
      <c r="X5" s="1808"/>
      <c r="Y5" s="3306"/>
      <c r="Z5" s="3307"/>
      <c r="AA5" s="3300"/>
      <c r="AB5" s="3300"/>
      <c r="AC5" s="3300"/>
    </row>
    <row r="6" spans="1:30" ht="15.75" thickBot="1">
      <c r="A6" s="406"/>
      <c r="B6" s="407"/>
      <c r="C6" s="3312" t="s">
        <v>2499</v>
      </c>
      <c r="D6" s="3313"/>
      <c r="E6" s="3314" t="s">
        <v>2499</v>
      </c>
      <c r="F6" s="3315"/>
      <c r="G6" s="3312" t="s">
        <v>2499</v>
      </c>
      <c r="H6" s="3313"/>
      <c r="I6" s="3312" t="s">
        <v>2499</v>
      </c>
      <c r="J6" s="3313"/>
      <c r="K6" s="610" t="s">
        <v>2500</v>
      </c>
      <c r="L6" s="1126"/>
      <c r="M6" s="1127"/>
      <c r="N6" s="1127"/>
      <c r="O6" s="1127"/>
      <c r="P6" s="3325"/>
      <c r="Q6" s="3326"/>
      <c r="R6" s="3306"/>
      <c r="S6" s="3307"/>
      <c r="T6" s="3327"/>
      <c r="U6" s="3328"/>
      <c r="V6" s="3329"/>
      <c r="W6" s="3329"/>
      <c r="X6" s="1808"/>
      <c r="Y6" s="3327"/>
      <c r="Z6" s="3328"/>
      <c r="AA6" s="3301"/>
      <c r="AB6" s="3301"/>
      <c r="AC6" s="3301"/>
    </row>
    <row r="7" spans="1:30" s="117" customFormat="1" ht="15.75" thickBot="1">
      <c r="A7" s="408" t="s">
        <v>2501</v>
      </c>
      <c r="B7" s="409"/>
      <c r="C7" s="410">
        <f>'数据-取费表'!B2</f>
        <v>43795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302" t="s">
        <v>2502</v>
      </c>
      <c r="Q7" s="3330"/>
      <c r="R7" s="770" t="s">
        <v>17</v>
      </c>
      <c r="S7" s="771">
        <f t="shared" ref="S7:S15" si="0">F7</f>
        <v>0</v>
      </c>
      <c r="T7" s="770" t="s">
        <v>17</v>
      </c>
      <c r="U7" s="771">
        <f t="shared" ref="U7:U15" si="1">H7</f>
        <v>0</v>
      </c>
      <c r="V7" s="770" t="s">
        <v>17</v>
      </c>
      <c r="W7" s="771">
        <f t="shared" ref="W7:W15" si="2">J7</f>
        <v>0</v>
      </c>
      <c r="X7" s="772"/>
      <c r="Y7" s="3302" t="s">
        <v>2502</v>
      </c>
      <c r="Z7" s="3303"/>
      <c r="AA7" s="773" t="e">
        <f>D7/F7</f>
        <v>#DIV/0!</v>
      </c>
      <c r="AB7" s="773" t="e">
        <f>D7/H7</f>
        <v>#DIV/0!</v>
      </c>
      <c r="AC7" s="773"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02" t="s">
        <v>2505</v>
      </c>
      <c r="Q8" s="3303"/>
      <c r="R8" s="770" t="s">
        <v>17</v>
      </c>
      <c r="S8" s="771">
        <f t="shared" si="0"/>
        <v>0</v>
      </c>
      <c r="T8" s="770" t="s">
        <v>17</v>
      </c>
      <c r="U8" s="771">
        <f t="shared" si="1"/>
        <v>0</v>
      </c>
      <c r="V8" s="770" t="s">
        <v>17</v>
      </c>
      <c r="W8" s="771">
        <f t="shared" si="2"/>
        <v>0</v>
      </c>
      <c r="X8" s="772"/>
      <c r="Y8" s="3302" t="s">
        <v>2505</v>
      </c>
      <c r="Z8" s="3303"/>
      <c r="AA8" s="773" t="e">
        <f t="shared" ref="AA8:AA45" si="3">D8/F8</f>
        <v>#DIV/0!</v>
      </c>
      <c r="AB8" s="773" t="e">
        <f t="shared" ref="AB8:AB45" si="4">D8/H8</f>
        <v>#DIV/0!</v>
      </c>
      <c r="AC8" s="773" t="e">
        <f t="shared" ref="AC8:AC45" si="5">D8/J8</f>
        <v>#DIV/0!</v>
      </c>
    </row>
    <row r="9" spans="1:30" s="117" customFormat="1">
      <c r="A9" s="415" t="s">
        <v>2506</v>
      </c>
      <c r="B9" s="71" t="s">
        <v>2507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334"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773">
        <f t="shared" si="5"/>
        <v>1</v>
      </c>
    </row>
    <row r="10" spans="1:30" s="427" customFormat="1" ht="27">
      <c r="A10" s="421"/>
      <c r="B10" s="422" t="s">
        <v>2510</v>
      </c>
      <c r="C10" s="432"/>
      <c r="D10" s="136">
        <v>100</v>
      </c>
      <c r="E10" s="465"/>
      <c r="F10" s="136">
        <f>ROUND(100/'数据-取费表'!G16,0)</f>
        <v>142</v>
      </c>
      <c r="G10" s="463"/>
      <c r="H10" s="136">
        <f>ROUND(100/'数据-取费表'!G16,0)</f>
        <v>142</v>
      </c>
      <c r="I10" s="463"/>
      <c r="J10" s="136">
        <f>ROUND(100/'数据-取费表'!G16,0)</f>
        <v>142</v>
      </c>
      <c r="K10" s="672"/>
      <c r="L10" s="1131"/>
      <c r="M10" s="1132"/>
      <c r="N10" s="1132"/>
      <c r="O10" s="1133"/>
      <c r="P10" s="3334"/>
      <c r="Q10" s="1790" t="str">
        <f t="shared" si="6"/>
        <v>土地使用年限（年）</v>
      </c>
      <c r="R10" s="770" t="s">
        <v>17</v>
      </c>
      <c r="S10" s="771">
        <f t="shared" si="0"/>
        <v>142</v>
      </c>
      <c r="T10" s="770" t="s">
        <v>17</v>
      </c>
      <c r="U10" s="771">
        <f t="shared" si="1"/>
        <v>142</v>
      </c>
      <c r="V10" s="770" t="s">
        <v>17</v>
      </c>
      <c r="W10" s="771">
        <f t="shared" si="2"/>
        <v>142</v>
      </c>
      <c r="X10" s="772"/>
      <c r="Y10" s="3146"/>
      <c r="Z10" s="55" t="str">
        <f t="shared" si="7"/>
        <v>土地使用年限（年）</v>
      </c>
      <c r="AA10" s="773">
        <f t="shared" si="3"/>
        <v>0.70422535211267601</v>
      </c>
      <c r="AB10" s="773">
        <f t="shared" si="4"/>
        <v>0.70422535211267601</v>
      </c>
      <c r="AC10" s="773">
        <f t="shared" si="5"/>
        <v>0.70422535211267601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334"/>
      <c r="Q11" s="1790" t="str">
        <f t="shared" si="6"/>
        <v>容积率</v>
      </c>
      <c r="R11" s="770" t="s">
        <v>17</v>
      </c>
      <c r="S11" s="771" t="e">
        <f t="shared" si="0"/>
        <v>#N/A</v>
      </c>
      <c r="T11" s="770" t="s">
        <v>17</v>
      </c>
      <c r="U11" s="771" t="e">
        <f t="shared" si="1"/>
        <v>#N/A</v>
      </c>
      <c r="V11" s="770" t="s">
        <v>17</v>
      </c>
      <c r="W11" s="771" t="e">
        <f t="shared" si="2"/>
        <v>#N/A</v>
      </c>
      <c r="X11" s="772"/>
      <c r="Y11" s="3146"/>
      <c r="Z11" s="55" t="str">
        <f t="shared" si="7"/>
        <v>容积率</v>
      </c>
      <c r="AA11" s="773" t="e">
        <f t="shared" si="3"/>
        <v>#N/A</v>
      </c>
      <c r="AB11" s="773" t="e">
        <f t="shared" si="4"/>
        <v>#N/A</v>
      </c>
      <c r="AC11" s="773" t="e">
        <f t="shared" si="5"/>
        <v>#N/A</v>
      </c>
    </row>
    <row r="12" spans="1:30" s="117" customFormat="1" ht="15">
      <c r="A12" s="431"/>
      <c r="B12" s="2596" t="s">
        <v>2699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334"/>
      <c r="Q12" s="1790" t="str">
        <f t="shared" si="6"/>
        <v>配建</v>
      </c>
      <c r="R12" s="770" t="s">
        <v>17</v>
      </c>
      <c r="S12" s="771">
        <f t="shared" si="0"/>
        <v>100</v>
      </c>
      <c r="T12" s="770" t="s">
        <v>17</v>
      </c>
      <c r="U12" s="771">
        <f t="shared" si="1"/>
        <v>100</v>
      </c>
      <c r="V12" s="770" t="s">
        <v>17</v>
      </c>
      <c r="W12" s="771">
        <f t="shared" si="2"/>
        <v>100</v>
      </c>
      <c r="X12" s="772"/>
      <c r="Y12" s="3146"/>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334"/>
      <c r="Q13" s="1790">
        <f t="shared" si="6"/>
        <v>111</v>
      </c>
      <c r="R13" s="770" t="s">
        <v>17</v>
      </c>
      <c r="S13" s="771">
        <f t="shared" si="0"/>
        <v>100</v>
      </c>
      <c r="T13" s="770" t="s">
        <v>17</v>
      </c>
      <c r="U13" s="771">
        <f t="shared" si="1"/>
        <v>100</v>
      </c>
      <c r="V13" s="770" t="s">
        <v>17</v>
      </c>
      <c r="W13" s="771">
        <f t="shared" si="2"/>
        <v>100</v>
      </c>
      <c r="X13" s="772"/>
      <c r="Y13" s="3146"/>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334"/>
      <c r="Q14" s="1790">
        <f t="shared" si="6"/>
        <v>111</v>
      </c>
      <c r="R14" s="770" t="s">
        <v>17</v>
      </c>
      <c r="S14" s="771">
        <f t="shared" si="0"/>
        <v>100</v>
      </c>
      <c r="T14" s="770" t="s">
        <v>17</v>
      </c>
      <c r="U14" s="771">
        <f t="shared" si="1"/>
        <v>100</v>
      </c>
      <c r="V14" s="770" t="s">
        <v>17</v>
      </c>
      <c r="W14" s="771">
        <f t="shared" si="2"/>
        <v>100</v>
      </c>
      <c r="X14" s="772"/>
      <c r="Y14" s="3146"/>
      <c r="Z14" s="55">
        <f t="shared" si="7"/>
        <v>111</v>
      </c>
      <c r="AA14" s="773">
        <f>D14/F14</f>
        <v>1</v>
      </c>
      <c r="AB14" s="773">
        <f>D14/H14</f>
        <v>1</v>
      </c>
      <c r="AC14" s="773">
        <f>D14/J14</f>
        <v>1</v>
      </c>
    </row>
    <row r="15" spans="1:30" ht="15">
      <c r="A15" s="440" t="s">
        <v>2512</v>
      </c>
      <c r="B15" s="69" t="s">
        <v>2046</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336" t="s">
        <v>2513</v>
      </c>
      <c r="Q15" s="1805" t="str">
        <f t="shared" si="6"/>
        <v>居住社区成熟度</v>
      </c>
      <c r="R15" s="774" t="s">
        <v>17</v>
      </c>
      <c r="S15" s="775">
        <f t="shared" si="0"/>
        <v>100</v>
      </c>
      <c r="T15" s="774" t="s">
        <v>17</v>
      </c>
      <c r="U15" s="775">
        <f t="shared" si="1"/>
        <v>100</v>
      </c>
      <c r="V15" s="774" t="s">
        <v>17</v>
      </c>
      <c r="W15" s="775">
        <f t="shared" si="2"/>
        <v>100</v>
      </c>
      <c r="X15" s="1808"/>
      <c r="Y15" s="3336" t="s">
        <v>2513</v>
      </c>
      <c r="Z15" s="1809" t="str">
        <f t="shared" si="7"/>
        <v>居住社区成熟度</v>
      </c>
      <c r="AA15" s="1806">
        <f t="shared" si="3"/>
        <v>1</v>
      </c>
      <c r="AB15" s="1806">
        <f t="shared" si="4"/>
        <v>1</v>
      </c>
      <c r="AC15" s="1806">
        <f t="shared" si="5"/>
        <v>1</v>
      </c>
    </row>
    <row r="16" spans="1:30" ht="15">
      <c r="A16" s="428"/>
      <c r="B16" s="446"/>
      <c r="C16" s="447"/>
      <c r="D16" s="448"/>
      <c r="E16" s="2601"/>
      <c r="F16" s="448"/>
      <c r="G16" s="2601"/>
      <c r="H16" s="450"/>
      <c r="I16" s="2600"/>
      <c r="J16" s="448"/>
      <c r="K16" s="672"/>
      <c r="L16" s="1136"/>
      <c r="M16" s="1127"/>
      <c r="N16" s="1127"/>
      <c r="O16" s="1135"/>
      <c r="P16" s="3337"/>
      <c r="Q16" s="1805"/>
      <c r="R16" s="774"/>
      <c r="S16" s="775"/>
      <c r="T16" s="774"/>
      <c r="U16" s="775"/>
      <c r="V16" s="774"/>
      <c r="W16" s="775"/>
      <c r="X16" s="1808"/>
      <c r="Y16" s="3337"/>
      <c r="Z16" s="1809"/>
      <c r="AA16" s="1806">
        <v>1</v>
      </c>
      <c r="AB16" s="1806">
        <v>1</v>
      </c>
      <c r="AC16" s="1806">
        <v>1</v>
      </c>
    </row>
    <row r="17" spans="1:29" ht="85.5">
      <c r="A17" s="428"/>
      <c r="B17" s="451" t="s">
        <v>2606</v>
      </c>
      <c r="C17" s="2660" t="str">
        <f>估价对象房地状况!C16</f>
        <v>估价对象位于亮马桥路南侧，周边商业氛围成熟一般，人流量一般，商业繁华度一般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337"/>
      <c r="Q17" s="1805" t="str">
        <f>B17</f>
        <v>商业繁华度</v>
      </c>
      <c r="R17" s="774" t="s">
        <v>17</v>
      </c>
      <c r="S17" s="775">
        <f>F17</f>
        <v>100</v>
      </c>
      <c r="T17" s="774" t="s">
        <v>17</v>
      </c>
      <c r="U17" s="775">
        <f>H17</f>
        <v>100</v>
      </c>
      <c r="V17" s="774" t="s">
        <v>17</v>
      </c>
      <c r="W17" s="775">
        <f>J17</f>
        <v>100</v>
      </c>
      <c r="X17" s="1808"/>
      <c r="Y17" s="3337"/>
      <c r="Z17" s="1809" t="str">
        <f>Q17</f>
        <v>商业繁华度</v>
      </c>
      <c r="AA17" s="1806">
        <f t="shared" si="3"/>
        <v>1</v>
      </c>
      <c r="AB17" s="1806">
        <f t="shared" si="4"/>
        <v>1</v>
      </c>
      <c r="AC17" s="1806">
        <f t="shared" si="5"/>
        <v>1</v>
      </c>
    </row>
    <row r="18" spans="1:29" ht="15">
      <c r="A18" s="428"/>
      <c r="B18" s="456"/>
      <c r="C18" s="2604"/>
      <c r="D18" s="450"/>
      <c r="E18" s="2606"/>
      <c r="F18" s="450"/>
      <c r="G18" s="2606"/>
      <c r="H18" s="448"/>
      <c r="I18" s="2605"/>
      <c r="J18" s="448"/>
      <c r="K18" s="672"/>
      <c r="L18" s="1136"/>
      <c r="M18" s="1127"/>
      <c r="N18" s="1127"/>
      <c r="O18" s="1135"/>
      <c r="P18" s="3337"/>
      <c r="Q18" s="1805"/>
      <c r="R18" s="774"/>
      <c r="S18" s="775"/>
      <c r="T18" s="774"/>
      <c r="U18" s="775"/>
      <c r="V18" s="774"/>
      <c r="W18" s="775"/>
      <c r="X18" s="1808"/>
      <c r="Y18" s="3337"/>
      <c r="Z18" s="1809"/>
      <c r="AA18" s="1806">
        <v>1</v>
      </c>
      <c r="AB18" s="1806">
        <v>1</v>
      </c>
      <c r="AC18" s="1806">
        <v>1</v>
      </c>
    </row>
    <row r="19" spans="1:29" ht="85.5">
      <c r="A19" s="428"/>
      <c r="B19" s="451" t="s">
        <v>2640</v>
      </c>
      <c r="C19" s="2660" t="str">
        <f>估价对象房地状况!C17</f>
        <v>估价对象位于亮马桥路南侧，周边办公楼项目较多，入驻率较高，办公集聚程度较好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337"/>
      <c r="Q19" s="1805" t="str">
        <f>B19</f>
        <v>办公集聚程度</v>
      </c>
      <c r="R19" s="774" t="s">
        <v>17</v>
      </c>
      <c r="S19" s="775">
        <f>F19</f>
        <v>100</v>
      </c>
      <c r="T19" s="774" t="s">
        <v>17</v>
      </c>
      <c r="U19" s="775">
        <f>H19</f>
        <v>100</v>
      </c>
      <c r="V19" s="774" t="s">
        <v>17</v>
      </c>
      <c r="W19" s="775">
        <f>J19</f>
        <v>100</v>
      </c>
      <c r="X19" s="1808"/>
      <c r="Y19" s="3337"/>
      <c r="Z19" s="1809" t="str">
        <f>Q19</f>
        <v>办公集聚程度</v>
      </c>
      <c r="AA19" s="1806">
        <f t="shared" si="3"/>
        <v>1</v>
      </c>
      <c r="AB19" s="1806">
        <f t="shared" si="4"/>
        <v>1</v>
      </c>
      <c r="AC19" s="1806">
        <f t="shared" si="5"/>
        <v>1</v>
      </c>
    </row>
    <row r="20" spans="1:29" ht="15">
      <c r="A20" s="428"/>
      <c r="B20" s="456"/>
      <c r="C20" s="447"/>
      <c r="D20" s="448"/>
      <c r="E20" s="2601"/>
      <c r="F20" s="448"/>
      <c r="G20" s="2601"/>
      <c r="H20" s="448"/>
      <c r="I20" s="2600"/>
      <c r="J20" s="448"/>
      <c r="K20" s="672"/>
      <c r="L20" s="1136"/>
      <c r="M20" s="1127"/>
      <c r="N20" s="1127"/>
      <c r="O20" s="1135"/>
      <c r="P20" s="3337"/>
      <c r="Q20" s="1805"/>
      <c r="R20" s="774"/>
      <c r="S20" s="775"/>
      <c r="T20" s="774"/>
      <c r="U20" s="775"/>
      <c r="V20" s="774"/>
      <c r="W20" s="775"/>
      <c r="X20" s="1808"/>
      <c r="Y20" s="3337"/>
      <c r="Z20" s="1809"/>
      <c r="AA20" s="1806">
        <v>1</v>
      </c>
      <c r="AB20" s="1806">
        <v>1</v>
      </c>
      <c r="AC20" s="1806">
        <v>1</v>
      </c>
    </row>
    <row r="21" spans="1:29" ht="156.75">
      <c r="A21" s="428"/>
      <c r="B21" s="451" t="s">
        <v>2662</v>
      </c>
      <c r="C21" s="2603" t="str">
        <f>估价对象房地状况!C18</f>
        <v>估价对象周边道路状况较好、公共交通通达情况较好、停车便捷程度较好，周边有地铁14号线东风北桥站，周边有402/403等公交线路，综合评价交通便捷度较好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337"/>
      <c r="Q21" s="1805" t="str">
        <f>B21</f>
        <v>交通便捷度</v>
      </c>
      <c r="R21" s="774" t="s">
        <v>17</v>
      </c>
      <c r="S21" s="775">
        <f>F21</f>
        <v>100</v>
      </c>
      <c r="T21" s="774" t="s">
        <v>17</v>
      </c>
      <c r="U21" s="775">
        <f>H21</f>
        <v>100</v>
      </c>
      <c r="V21" s="774" t="s">
        <v>17</v>
      </c>
      <c r="W21" s="775">
        <f>J21</f>
        <v>100</v>
      </c>
      <c r="X21" s="1808"/>
      <c r="Y21" s="3337"/>
      <c r="Z21" s="1809" t="str">
        <f>Q21</f>
        <v>交通便捷度</v>
      </c>
      <c r="AA21" s="1806">
        <f t="shared" si="3"/>
        <v>1</v>
      </c>
      <c r="AB21" s="1806">
        <f t="shared" si="4"/>
        <v>1</v>
      </c>
      <c r="AC21" s="1806">
        <f t="shared" si="5"/>
        <v>1</v>
      </c>
    </row>
    <row r="22" spans="1:29" ht="15">
      <c r="A22" s="428"/>
      <c r="B22" s="1380"/>
      <c r="C22" s="447"/>
      <c r="D22" s="450"/>
      <c r="E22" s="2601"/>
      <c r="F22" s="448"/>
      <c r="G22" s="2601"/>
      <c r="H22" s="448"/>
      <c r="I22" s="2600"/>
      <c r="J22" s="448"/>
      <c r="K22" s="672"/>
      <c r="L22" s="1136"/>
      <c r="M22" s="1127"/>
      <c r="N22" s="1127"/>
      <c r="O22" s="1135"/>
      <c r="P22" s="3337"/>
      <c r="Q22" s="1805"/>
      <c r="R22" s="774"/>
      <c r="S22" s="775"/>
      <c r="T22" s="774"/>
      <c r="U22" s="775"/>
      <c r="V22" s="774"/>
      <c r="W22" s="775"/>
      <c r="X22" s="1808"/>
      <c r="Y22" s="3337"/>
      <c r="Z22" s="1809"/>
      <c r="AA22" s="1806">
        <v>1</v>
      </c>
      <c r="AB22" s="1806">
        <v>1</v>
      </c>
      <c r="AC22" s="1806">
        <v>1</v>
      </c>
    </row>
    <row r="23" spans="1:29" ht="15">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337"/>
      <c r="Q23" s="1805" t="str">
        <f t="shared" ref="Q23:Q37" si="8">B23</f>
        <v>区域土地利用方向</v>
      </c>
      <c r="R23" s="774" t="s">
        <v>17</v>
      </c>
      <c r="S23" s="775">
        <f>F23</f>
        <v>100</v>
      </c>
      <c r="T23" s="774" t="s">
        <v>17</v>
      </c>
      <c r="U23" s="775">
        <f>H23</f>
        <v>100</v>
      </c>
      <c r="V23" s="774" t="s">
        <v>17</v>
      </c>
      <c r="W23" s="775">
        <f>J23</f>
        <v>100</v>
      </c>
      <c r="X23" s="1808"/>
      <c r="Y23" s="3337"/>
      <c r="Z23" s="1809" t="str">
        <f>Q23</f>
        <v>区域土地利用方向</v>
      </c>
      <c r="AA23" s="1806">
        <f t="shared" si="3"/>
        <v>1</v>
      </c>
      <c r="AB23" s="1806">
        <f t="shared" si="4"/>
        <v>1</v>
      </c>
      <c r="AC23" s="1806">
        <f t="shared" si="5"/>
        <v>1</v>
      </c>
    </row>
    <row r="24" spans="1:29" ht="15">
      <c r="A24" s="404"/>
      <c r="B24" s="456"/>
      <c r="C24" s="616"/>
      <c r="D24" s="448"/>
      <c r="E24" s="2601"/>
      <c r="F24" s="448"/>
      <c r="G24" s="2600"/>
      <c r="H24" s="448"/>
      <c r="I24" s="2600"/>
      <c r="J24" s="448"/>
      <c r="K24" s="808"/>
      <c r="L24" s="1136"/>
      <c r="M24" s="1127"/>
      <c r="N24" s="1127"/>
      <c r="O24" s="1135"/>
      <c r="P24" s="3337"/>
      <c r="Q24" s="1805"/>
      <c r="R24" s="774"/>
      <c r="S24" s="775"/>
      <c r="T24" s="774"/>
      <c r="U24" s="775"/>
      <c r="V24" s="774"/>
      <c r="W24" s="775"/>
      <c r="X24" s="1808"/>
      <c r="Y24" s="3337"/>
      <c r="Z24" s="1809"/>
      <c r="AA24" s="1806"/>
      <c r="AB24" s="1806"/>
      <c r="AC24" s="1806"/>
    </row>
    <row r="25" spans="1:29" ht="99.75">
      <c r="A25" s="404"/>
      <c r="B25" s="1380" t="s">
        <v>2701</v>
      </c>
      <c r="C25" s="2660" t="str">
        <f>估价对象房地状况!C20</f>
        <v>区域自然环境好：周边临近朝阳公园；人文环境好：周边临近农业展览馆；综合评价环境状况好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337"/>
      <c r="Q25" s="1805" t="str">
        <f t="shared" si="8"/>
        <v>自然及人文环境状况</v>
      </c>
      <c r="R25" s="774" t="s">
        <v>17</v>
      </c>
      <c r="S25" s="775">
        <f>F25</f>
        <v>100</v>
      </c>
      <c r="T25" s="774" t="s">
        <v>17</v>
      </c>
      <c r="U25" s="775">
        <f>H25</f>
        <v>100</v>
      </c>
      <c r="V25" s="774" t="s">
        <v>17</v>
      </c>
      <c r="W25" s="775">
        <f>J25</f>
        <v>100</v>
      </c>
      <c r="X25" s="1808"/>
      <c r="Y25" s="3337"/>
      <c r="Z25" s="1809" t="str">
        <f>Q25</f>
        <v>自然及人文环境状况</v>
      </c>
      <c r="AA25" s="1806">
        <f t="shared" si="3"/>
        <v>1</v>
      </c>
      <c r="AB25" s="1806">
        <f t="shared" si="4"/>
        <v>1</v>
      </c>
      <c r="AC25" s="1806">
        <f t="shared" si="5"/>
        <v>1</v>
      </c>
    </row>
    <row r="26" spans="1:29" ht="15">
      <c r="A26" s="404"/>
      <c r="B26" s="456"/>
      <c r="C26" s="447"/>
      <c r="D26" s="448"/>
      <c r="E26" s="2607"/>
      <c r="F26" s="448"/>
      <c r="G26" s="2607"/>
      <c r="H26" s="448"/>
      <c r="I26" s="447"/>
      <c r="J26" s="448"/>
      <c r="K26" s="672"/>
      <c r="L26" s="1136"/>
      <c r="M26" s="1127"/>
      <c r="N26" s="1127"/>
      <c r="O26" s="1135"/>
      <c r="P26" s="3337"/>
      <c r="Q26" s="1805"/>
      <c r="R26" s="774"/>
      <c r="S26" s="775"/>
      <c r="T26" s="774"/>
      <c r="U26" s="775"/>
      <c r="V26" s="774"/>
      <c r="W26" s="775"/>
      <c r="X26" s="1808"/>
      <c r="Y26" s="3337"/>
      <c r="Z26" s="1809"/>
      <c r="AA26" s="1806">
        <v>1</v>
      </c>
      <c r="AB26" s="1806">
        <v>1</v>
      </c>
      <c r="AC26" s="1806">
        <v>1</v>
      </c>
    </row>
    <row r="27" spans="1:29" s="117" customFormat="1" ht="42.75">
      <c r="A27" s="649"/>
      <c r="B27" s="1380" t="s">
        <v>2607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337"/>
      <c r="Q27" s="1790" t="str">
        <f t="shared" si="8"/>
        <v>公共配套设施</v>
      </c>
      <c r="R27" s="770" t="s">
        <v>17</v>
      </c>
      <c r="S27" s="771">
        <f>F27</f>
        <v>100</v>
      </c>
      <c r="T27" s="770" t="s">
        <v>17</v>
      </c>
      <c r="U27" s="771">
        <f>H27</f>
        <v>100</v>
      </c>
      <c r="V27" s="770" t="s">
        <v>17</v>
      </c>
      <c r="W27" s="771">
        <f>J27</f>
        <v>100</v>
      </c>
      <c r="X27" s="772"/>
      <c r="Y27" s="3337"/>
      <c r="Z27" s="55" t="str">
        <f>Q27</f>
        <v>公共配套设施</v>
      </c>
      <c r="AA27" s="1806">
        <f>D27/F27</f>
        <v>1</v>
      </c>
      <c r="AB27" s="1806">
        <f>D27/H27</f>
        <v>1</v>
      </c>
      <c r="AC27" s="1806">
        <f>D27/J27</f>
        <v>1</v>
      </c>
    </row>
    <row r="28" spans="1:29" s="117" customFormat="1" ht="15">
      <c r="A28" s="649"/>
      <c r="B28" s="456"/>
      <c r="C28" s="2696"/>
      <c r="D28" s="448"/>
      <c r="E28" s="2607"/>
      <c r="F28" s="448"/>
      <c r="G28" s="2607"/>
      <c r="H28" s="448"/>
      <c r="I28" s="447"/>
      <c r="J28" s="448"/>
      <c r="K28" s="672"/>
      <c r="L28" s="1128"/>
      <c r="M28" s="1129"/>
      <c r="N28" s="1129"/>
      <c r="O28" s="1130"/>
      <c r="P28" s="3337"/>
      <c r="Q28" s="1790"/>
      <c r="R28" s="770"/>
      <c r="S28" s="771"/>
      <c r="T28" s="770"/>
      <c r="U28" s="771"/>
      <c r="V28" s="770"/>
      <c r="W28" s="771"/>
      <c r="X28" s="772"/>
      <c r="Y28" s="3337"/>
      <c r="Z28" s="55"/>
      <c r="AA28" s="1806">
        <v>1</v>
      </c>
      <c r="AB28" s="1806">
        <v>1</v>
      </c>
      <c r="AC28" s="1806">
        <v>1</v>
      </c>
    </row>
    <row r="29" spans="1:29" s="117" customFormat="1" ht="42.75">
      <c r="A29" s="649"/>
      <c r="B29" s="1380" t="s">
        <v>2608</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337"/>
      <c r="Q29" s="1790" t="str">
        <f t="shared" ref="Q29" si="9">B29</f>
        <v>基础设施水平</v>
      </c>
      <c r="R29" s="770" t="s">
        <v>17</v>
      </c>
      <c r="S29" s="771">
        <f>F29</f>
        <v>100</v>
      </c>
      <c r="T29" s="770" t="s">
        <v>17</v>
      </c>
      <c r="U29" s="771">
        <f>H29</f>
        <v>100</v>
      </c>
      <c r="V29" s="770" t="s">
        <v>17</v>
      </c>
      <c r="W29" s="771">
        <f>J29</f>
        <v>100</v>
      </c>
      <c r="X29" s="772"/>
      <c r="Y29" s="3337"/>
      <c r="Z29" s="55" t="str">
        <f>Q29</f>
        <v>基础设施水平</v>
      </c>
      <c r="AA29" s="1806">
        <f>D29/F29</f>
        <v>1</v>
      </c>
      <c r="AB29" s="1806">
        <f>D29/H29</f>
        <v>1</v>
      </c>
      <c r="AC29" s="1806">
        <f>D29/J29</f>
        <v>1</v>
      </c>
    </row>
    <row r="30" spans="1:29" s="117" customFormat="1" ht="15">
      <c r="A30" s="649"/>
      <c r="B30" s="456"/>
      <c r="C30" s="2696"/>
      <c r="D30" s="448"/>
      <c r="E30" s="2697"/>
      <c r="F30" s="448"/>
      <c r="G30" s="2697"/>
      <c r="H30" s="448"/>
      <c r="I30" s="2697"/>
      <c r="J30" s="448"/>
      <c r="K30" s="672"/>
      <c r="L30" s="1128"/>
      <c r="M30" s="1129"/>
      <c r="N30" s="1129"/>
      <c r="O30" s="1130"/>
      <c r="P30" s="3337"/>
      <c r="Q30" s="1790"/>
      <c r="R30" s="770"/>
      <c r="S30" s="771"/>
      <c r="T30" s="770"/>
      <c r="U30" s="771"/>
      <c r="V30" s="770"/>
      <c r="W30" s="771"/>
      <c r="X30" s="772"/>
      <c r="Y30" s="3337"/>
      <c r="Z30" s="55"/>
      <c r="AA30" s="1806">
        <v>1</v>
      </c>
      <c r="AB30" s="1806">
        <v>1</v>
      </c>
      <c r="AC30" s="1806">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337"/>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337"/>
      <c r="Z31" s="1809" t="str">
        <f t="shared" ref="Z31:Z45" si="13">Q31</f>
        <v>临街状况</v>
      </c>
      <c r="AA31" s="1806">
        <f t="shared" si="3"/>
        <v>1</v>
      </c>
      <c r="AB31" s="1806">
        <f t="shared" si="4"/>
        <v>1</v>
      </c>
      <c r="AC31" s="1806">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337"/>
      <c r="Q32" s="1805" t="str">
        <f t="shared" si="8"/>
        <v>毗邻道路的类型与等级</v>
      </c>
      <c r="R32" s="774" t="s">
        <v>17</v>
      </c>
      <c r="S32" s="775">
        <f t="shared" si="10"/>
        <v>100</v>
      </c>
      <c r="T32" s="774" t="s">
        <v>17</v>
      </c>
      <c r="U32" s="775">
        <f t="shared" si="11"/>
        <v>100</v>
      </c>
      <c r="V32" s="774" t="s">
        <v>17</v>
      </c>
      <c r="W32" s="775">
        <f t="shared" si="12"/>
        <v>100</v>
      </c>
      <c r="X32" s="1808"/>
      <c r="Y32" s="3337"/>
      <c r="Z32" s="1809" t="str">
        <f t="shared" si="13"/>
        <v>毗邻道路的类型与等级</v>
      </c>
      <c r="AA32" s="1806">
        <f t="shared" si="3"/>
        <v>1</v>
      </c>
      <c r="AB32" s="1806">
        <f t="shared" si="4"/>
        <v>1</v>
      </c>
      <c r="AC32" s="1806">
        <f t="shared" si="5"/>
        <v>1</v>
      </c>
    </row>
    <row r="33" spans="1:29" ht="15">
      <c r="A33" s="428"/>
      <c r="B33" s="456"/>
      <c r="C33" s="447"/>
      <c r="D33" s="448"/>
      <c r="E33" s="2607"/>
      <c r="F33" s="448"/>
      <c r="G33" s="2607"/>
      <c r="H33" s="448"/>
      <c r="I33" s="447"/>
      <c r="J33" s="448"/>
      <c r="K33" s="613"/>
      <c r="L33" s="1136"/>
      <c r="M33" s="1127"/>
      <c r="N33" s="1127"/>
      <c r="O33" s="1135"/>
      <c r="P33" s="3337"/>
      <c r="Q33" s="1805"/>
      <c r="R33" s="774"/>
      <c r="S33" s="775"/>
      <c r="T33" s="774"/>
      <c r="U33" s="775"/>
      <c r="V33" s="774"/>
      <c r="W33" s="775"/>
      <c r="X33" s="1808"/>
      <c r="Y33" s="3337"/>
      <c r="Z33" s="1809"/>
      <c r="AA33" s="1806">
        <v>1</v>
      </c>
      <c r="AB33" s="1806">
        <v>1</v>
      </c>
      <c r="AC33" s="1806">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337"/>
      <c r="Q34" s="1805" t="str">
        <f t="shared" si="8"/>
        <v>土地级别</v>
      </c>
      <c r="R34" s="774" t="s">
        <v>17</v>
      </c>
      <c r="S34" s="775">
        <f t="shared" si="10"/>
        <v>100</v>
      </c>
      <c r="T34" s="774" t="s">
        <v>17</v>
      </c>
      <c r="U34" s="775">
        <f t="shared" si="11"/>
        <v>100</v>
      </c>
      <c r="V34" s="774" t="s">
        <v>17</v>
      </c>
      <c r="W34" s="775">
        <f t="shared" si="12"/>
        <v>100</v>
      </c>
      <c r="X34" s="1808"/>
      <c r="Y34" s="3337"/>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337"/>
      <c r="Q35" s="1805">
        <f t="shared" si="8"/>
        <v>111</v>
      </c>
      <c r="R35" s="774" t="s">
        <v>17</v>
      </c>
      <c r="S35" s="775">
        <f t="shared" si="10"/>
        <v>100</v>
      </c>
      <c r="T35" s="774" t="s">
        <v>17</v>
      </c>
      <c r="U35" s="775">
        <f t="shared" si="11"/>
        <v>100</v>
      </c>
      <c r="V35" s="774" t="s">
        <v>17</v>
      </c>
      <c r="W35" s="775">
        <f t="shared" si="12"/>
        <v>100</v>
      </c>
      <c r="X35" s="1808"/>
      <c r="Y35" s="3337"/>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86" t="s">
        <v>2518</v>
      </c>
      <c r="Q36" s="1805">
        <f t="shared" si="8"/>
        <v>111</v>
      </c>
      <c r="R36" s="774" t="s">
        <v>17</v>
      </c>
      <c r="S36" s="775">
        <f t="shared" si="10"/>
        <v>100</v>
      </c>
      <c r="T36" s="774" t="s">
        <v>17</v>
      </c>
      <c r="U36" s="775">
        <f t="shared" si="11"/>
        <v>100</v>
      </c>
      <c r="V36" s="774" t="s">
        <v>17</v>
      </c>
      <c r="W36" s="775">
        <f t="shared" si="12"/>
        <v>100</v>
      </c>
      <c r="X36" s="1808"/>
      <c r="Y36" s="3341" t="s">
        <v>2518</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341"/>
      <c r="Q37" s="1805">
        <f t="shared" si="8"/>
        <v>111</v>
      </c>
      <c r="R37" s="777" t="s">
        <v>17</v>
      </c>
      <c r="S37" s="778">
        <f t="shared" si="10"/>
        <v>100</v>
      </c>
      <c r="T37" s="777" t="s">
        <v>17</v>
      </c>
      <c r="U37" s="778">
        <f t="shared" si="11"/>
        <v>100</v>
      </c>
      <c r="V37" s="777" t="s">
        <v>17</v>
      </c>
      <c r="W37" s="778">
        <f t="shared" si="12"/>
        <v>100</v>
      </c>
      <c r="X37" s="779"/>
      <c r="Y37" s="3341"/>
      <c r="Z37" s="780">
        <f t="shared" si="13"/>
        <v>111</v>
      </c>
      <c r="AA37" s="1806">
        <f t="shared" si="3"/>
        <v>1</v>
      </c>
      <c r="AB37" s="1806">
        <f t="shared" si="4"/>
        <v>1</v>
      </c>
      <c r="AC37" s="1806">
        <f t="shared" si="5"/>
        <v>1</v>
      </c>
    </row>
    <row r="38" spans="1:29" ht="15">
      <c r="A38" s="472" t="s">
        <v>2516</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341"/>
      <c r="Q38" s="1805" t="str">
        <f>B38</f>
        <v>宗地面积</v>
      </c>
      <c r="R38" s="774" t="s">
        <v>17</v>
      </c>
      <c r="S38" s="775" t="e">
        <f t="shared" si="10"/>
        <v>#N/A</v>
      </c>
      <c r="T38" s="774" t="s">
        <v>17</v>
      </c>
      <c r="U38" s="775" t="e">
        <f t="shared" si="11"/>
        <v>#N/A</v>
      </c>
      <c r="V38" s="774" t="s">
        <v>17</v>
      </c>
      <c r="W38" s="775" t="e">
        <f t="shared" si="12"/>
        <v>#N/A</v>
      </c>
      <c r="X38" s="1808"/>
      <c r="Y38" s="3341"/>
      <c r="Z38" s="1809" t="str">
        <f t="shared" si="13"/>
        <v>宗地面积</v>
      </c>
      <c r="AA38" s="1806" t="e">
        <f t="shared" si="3"/>
        <v>#N/A</v>
      </c>
      <c r="AB38" s="1806" t="e">
        <f t="shared" si="4"/>
        <v>#N/A</v>
      </c>
      <c r="AC38" s="1806" t="e">
        <f t="shared" si="5"/>
        <v>#N/A</v>
      </c>
    </row>
    <row r="39" spans="1:29" ht="15">
      <c r="A39" s="472"/>
      <c r="B39" s="422" t="s">
        <v>2704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341"/>
      <c r="Q39" s="1805" t="str">
        <f t="shared" ref="Q39:Q45" si="14">B39</f>
        <v>宗地形状</v>
      </c>
      <c r="R39" s="774" t="s">
        <v>17</v>
      </c>
      <c r="S39" s="775">
        <f t="shared" si="10"/>
        <v>100</v>
      </c>
      <c r="T39" s="774" t="s">
        <v>17</v>
      </c>
      <c r="U39" s="775">
        <f t="shared" si="11"/>
        <v>100</v>
      </c>
      <c r="V39" s="774" t="s">
        <v>17</v>
      </c>
      <c r="W39" s="775">
        <f t="shared" si="12"/>
        <v>100</v>
      </c>
      <c r="X39" s="1808"/>
      <c r="Y39" s="3341"/>
      <c r="Z39" s="1809" t="str">
        <f t="shared" si="13"/>
        <v>宗地形状</v>
      </c>
      <c r="AA39" s="1806">
        <f t="shared" si="3"/>
        <v>1</v>
      </c>
      <c r="AB39" s="1806">
        <f t="shared" si="4"/>
        <v>1</v>
      </c>
      <c r="AC39" s="1806">
        <f t="shared" si="5"/>
        <v>1</v>
      </c>
    </row>
    <row r="40" spans="1:29" ht="15">
      <c r="A40" s="472"/>
      <c r="B40" s="422" t="s">
        <v>2705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341"/>
      <c r="Q40" s="1805" t="str">
        <f t="shared" si="14"/>
        <v>临街宽度及深度</v>
      </c>
      <c r="R40" s="774" t="s">
        <v>17</v>
      </c>
      <c r="S40" s="775">
        <f t="shared" si="10"/>
        <v>100</v>
      </c>
      <c r="T40" s="774" t="s">
        <v>17</v>
      </c>
      <c r="U40" s="775">
        <f t="shared" si="11"/>
        <v>100</v>
      </c>
      <c r="V40" s="774" t="s">
        <v>17</v>
      </c>
      <c r="W40" s="775">
        <f t="shared" si="12"/>
        <v>100</v>
      </c>
      <c r="X40" s="1808"/>
      <c r="Y40" s="3341"/>
      <c r="Z40" s="1809" t="str">
        <f t="shared" si="13"/>
        <v>临街宽度及深度</v>
      </c>
      <c r="AA40" s="1806">
        <f t="shared" si="3"/>
        <v>1</v>
      </c>
      <c r="AB40" s="1806">
        <f t="shared" si="4"/>
        <v>1</v>
      </c>
      <c r="AC40" s="1806">
        <f t="shared" si="5"/>
        <v>1</v>
      </c>
    </row>
    <row r="41" spans="1:29" s="117" customFormat="1" ht="15">
      <c r="A41" s="473"/>
      <c r="B41" s="422" t="s">
        <v>2706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341"/>
      <c r="Q41" s="1805" t="str">
        <f t="shared" si="14"/>
        <v>宗地开发程度</v>
      </c>
      <c r="R41" s="770" t="s">
        <v>17</v>
      </c>
      <c r="S41" s="771">
        <f t="shared" si="10"/>
        <v>100</v>
      </c>
      <c r="T41" s="770" t="s">
        <v>17</v>
      </c>
      <c r="U41" s="771">
        <f t="shared" si="11"/>
        <v>100</v>
      </c>
      <c r="V41" s="770" t="s">
        <v>17</v>
      </c>
      <c r="W41" s="771">
        <f t="shared" si="12"/>
        <v>100</v>
      </c>
      <c r="X41" s="772"/>
      <c r="Y41" s="3341"/>
      <c r="Z41" s="55" t="str">
        <f t="shared" si="13"/>
        <v>宗地开发程度</v>
      </c>
      <c r="AA41" s="773">
        <f t="shared" si="3"/>
        <v>1</v>
      </c>
      <c r="AB41" s="773">
        <f t="shared" si="4"/>
        <v>1</v>
      </c>
      <c r="AC41" s="773">
        <f t="shared" si="5"/>
        <v>1</v>
      </c>
    </row>
    <row r="42" spans="1:29" ht="15">
      <c r="A42" s="472"/>
      <c r="B42" s="422" t="s">
        <v>2707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341" t="s">
        <v>2518</v>
      </c>
      <c r="Q42" s="1805" t="str">
        <f t="shared" si="14"/>
        <v>工程地质条件</v>
      </c>
      <c r="R42" s="774" t="s">
        <v>17</v>
      </c>
      <c r="S42" s="775">
        <f t="shared" si="10"/>
        <v>100</v>
      </c>
      <c r="T42" s="774" t="s">
        <v>17</v>
      </c>
      <c r="U42" s="775">
        <f t="shared" si="11"/>
        <v>100</v>
      </c>
      <c r="V42" s="774" t="s">
        <v>17</v>
      </c>
      <c r="W42" s="775">
        <f t="shared" si="12"/>
        <v>100</v>
      </c>
      <c r="X42" s="1808"/>
      <c r="Y42" s="3341" t="s">
        <v>2518</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341"/>
      <c r="Q43" s="1805">
        <f t="shared" si="14"/>
        <v>111</v>
      </c>
      <c r="R43" s="774" t="s">
        <v>17</v>
      </c>
      <c r="S43" s="775">
        <f t="shared" si="10"/>
        <v>100</v>
      </c>
      <c r="T43" s="774" t="s">
        <v>17</v>
      </c>
      <c r="U43" s="775">
        <f t="shared" si="11"/>
        <v>100</v>
      </c>
      <c r="V43" s="774" t="s">
        <v>17</v>
      </c>
      <c r="W43" s="775">
        <f t="shared" si="12"/>
        <v>100</v>
      </c>
      <c r="X43" s="1808"/>
      <c r="Y43" s="3341"/>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341"/>
      <c r="Q44" s="1805">
        <f t="shared" si="14"/>
        <v>111</v>
      </c>
      <c r="R44" s="774" t="s">
        <v>17</v>
      </c>
      <c r="S44" s="775">
        <f t="shared" si="10"/>
        <v>100</v>
      </c>
      <c r="T44" s="774" t="s">
        <v>17</v>
      </c>
      <c r="U44" s="775">
        <f t="shared" si="11"/>
        <v>100</v>
      </c>
      <c r="V44" s="774" t="s">
        <v>17</v>
      </c>
      <c r="W44" s="775">
        <f t="shared" si="12"/>
        <v>100</v>
      </c>
      <c r="X44" s="1808"/>
      <c r="Y44" s="3341"/>
      <c r="Z44" s="1809">
        <f t="shared" si="13"/>
        <v>111</v>
      </c>
      <c r="AA44" s="1806">
        <f t="shared" si="3"/>
        <v>1</v>
      </c>
      <c r="AB44" s="1806">
        <f t="shared" si="4"/>
        <v>1</v>
      </c>
      <c r="AC44" s="1806">
        <f t="shared" si="5"/>
        <v>1</v>
      </c>
    </row>
    <row r="45" spans="1:29" s="471" customFormat="1" ht="15.75"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341"/>
      <c r="Q45" s="1805">
        <f t="shared" si="14"/>
        <v>111</v>
      </c>
      <c r="R45" s="777" t="s">
        <v>17</v>
      </c>
      <c r="S45" s="778">
        <f t="shared" si="10"/>
        <v>100</v>
      </c>
      <c r="T45" s="777" t="s">
        <v>17</v>
      </c>
      <c r="U45" s="778">
        <f t="shared" si="11"/>
        <v>100</v>
      </c>
      <c r="V45" s="777" t="s">
        <v>17</v>
      </c>
      <c r="W45" s="778">
        <f t="shared" si="12"/>
        <v>100</v>
      </c>
      <c r="X45" s="779"/>
      <c r="Y45" s="3341"/>
      <c r="Z45" s="780">
        <f t="shared" si="13"/>
        <v>111</v>
      </c>
      <c r="AA45" s="1806">
        <f t="shared" si="3"/>
        <v>1</v>
      </c>
      <c r="AB45" s="1806">
        <f t="shared" si="4"/>
        <v>1</v>
      </c>
      <c r="AC45" s="1806">
        <f t="shared" si="5"/>
        <v>1</v>
      </c>
    </row>
    <row r="46" spans="1:29" ht="15">
      <c r="A46" s="479" t="s">
        <v>2673</v>
      </c>
      <c r="B46" s="2700" t="s">
        <v>2708</v>
      </c>
      <c r="C46" s="682" t="s">
        <v>1</v>
      </c>
      <c r="D46" s="481"/>
      <c r="E46" s="482"/>
      <c r="F46" s="483"/>
      <c r="G46" s="484"/>
      <c r="H46" s="485"/>
      <c r="I46" s="482"/>
      <c r="J46" s="485"/>
      <c r="K46" s="783"/>
      <c r="L46" s="1139"/>
      <c r="M46" s="1140"/>
      <c r="N46" s="1127"/>
      <c r="O46" s="1140"/>
      <c r="P46" s="3334" t="str">
        <f>A46</f>
        <v>成交单价</v>
      </c>
      <c r="Q46" s="3334"/>
      <c r="R46" s="3329">
        <f>E46</f>
        <v>0</v>
      </c>
      <c r="S46" s="3329"/>
      <c r="T46" s="3329">
        <f>G46</f>
        <v>0</v>
      </c>
      <c r="U46" s="3329"/>
      <c r="V46" s="3329">
        <f>I46</f>
        <v>0</v>
      </c>
      <c r="W46" s="3329"/>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39"/>
      <c r="M47" s="1140"/>
      <c r="N47" s="1140"/>
      <c r="O47" s="1140"/>
      <c r="P47" s="3334" t="str">
        <f>A47</f>
        <v>比较价值（元/平方米）</v>
      </c>
      <c r="Q47" s="3334"/>
      <c r="R47" s="3387" t="e">
        <f>ROUND(PRODUCT(R46,AA7:AA45),0)</f>
        <v>#DIV/0!</v>
      </c>
      <c r="S47" s="3387"/>
      <c r="T47" s="3387" t="e">
        <f>ROUND(PRODUCT(T46,AB7:AB45),0)</f>
        <v>#DIV/0!</v>
      </c>
      <c r="U47" s="3387"/>
      <c r="V47" s="3387" t="e">
        <f>ROUND(PRODUCT(V46,AC7:AC45),0)</f>
        <v>#DIV/0!</v>
      </c>
      <c r="W47" s="3387"/>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39"/>
      <c r="M48" s="1140"/>
      <c r="N48" s="1140"/>
      <c r="O48" s="1140"/>
      <c r="P48" s="3331" t="str">
        <f>A48</f>
        <v>估价对象XX用房的比较价值（楼面单价，元/平方米）</v>
      </c>
      <c r="Q48" s="3332"/>
      <c r="R48" s="3388" t="e">
        <f>ROUND(AVERAGE(R47:V47),0)</f>
        <v>#DIV/0!</v>
      </c>
      <c r="S48" s="3388"/>
      <c r="T48" s="3388"/>
      <c r="U48" s="3388"/>
      <c r="V48" s="3388"/>
      <c r="W48" s="3388"/>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2710</v>
      </c>
      <c r="B55" s="685" t="s">
        <v>2711</v>
      </c>
      <c r="C55" s="2701" t="s">
        <v>2712</v>
      </c>
      <c r="D55" s="2702" t="s">
        <v>2713</v>
      </c>
      <c r="E55" s="686" t="s">
        <v>2714</v>
      </c>
      <c r="F55" s="1103" t="s">
        <v>2715</v>
      </c>
      <c r="G55" s="3317" t="s">
        <v>2716</v>
      </c>
      <c r="H55" s="3389"/>
      <c r="I55" s="144" t="s">
        <v>2717</v>
      </c>
      <c r="J55" s="2703">
        <f>项目基本情况!F35</f>
        <v>0</v>
      </c>
      <c r="K55" s="2704" t="s">
        <v>2718</v>
      </c>
      <c r="L55" s="1102"/>
      <c r="M55" s="1140"/>
      <c r="N55" s="1140"/>
      <c r="O55" s="1140"/>
    </row>
    <row r="56" spans="1:15" s="692" customFormat="1">
      <c r="A56" s="688" t="s">
        <v>2719</v>
      </c>
      <c r="B56" s="689" t="e">
        <f>C48</f>
        <v>#DIV/0!</v>
      </c>
      <c r="C56" s="690">
        <v>1</v>
      </c>
      <c r="D56" s="1159">
        <v>1</v>
      </c>
      <c r="E56" s="690">
        <f>'数据-汇总表'!E8+'数据-汇总表'!E9</f>
        <v>19106.660000000003</v>
      </c>
      <c r="F56" s="1099" t="e">
        <f t="shared" ref="F56:F65" si="15">ROUND(B56*E56/10000,0)</f>
        <v>#DIV/0!</v>
      </c>
      <c r="G56" s="3316"/>
      <c r="H56" s="3334"/>
      <c r="I56" s="1104">
        <v>1</v>
      </c>
      <c r="J56" s="1107">
        <v>1</v>
      </c>
      <c r="K56" s="1141"/>
      <c r="L56" s="937"/>
      <c r="M56" s="937"/>
      <c r="N56" s="937"/>
      <c r="O56" s="937"/>
    </row>
    <row r="57" spans="1:15" s="692" customFormat="1">
      <c r="A57" s="693" t="s">
        <v>2720</v>
      </c>
      <c r="B57" s="262" t="e">
        <f>ROUND($C$48*C57*D57,0)</f>
        <v>#DIV/0!</v>
      </c>
      <c r="C57" s="200">
        <f t="shared" ref="C57:C65" si="16">IF($C$55="北京市系数",I57,J57)</f>
        <v>0.7</v>
      </c>
      <c r="D57" s="1160">
        <v>0.25</v>
      </c>
      <c r="E57" s="694"/>
      <c r="F57" s="1099" t="e">
        <f t="shared" si="15"/>
        <v>#DIV/0!</v>
      </c>
      <c r="G57" s="3390" t="s">
        <v>2721</v>
      </c>
      <c r="H57" s="1100" t="str">
        <f>项目基本情况!B37</f>
        <v>三级</v>
      </c>
      <c r="I57" s="1104">
        <f>SUMIF(修正!A45:A56,H57,修正!B45:B56)</f>
        <v>0.7</v>
      </c>
      <c r="J57" s="1108"/>
      <c r="K57" s="1140"/>
      <c r="L57" s="937"/>
      <c r="M57" s="937"/>
      <c r="N57" s="937"/>
      <c r="O57" s="937"/>
    </row>
    <row r="58" spans="1:15" s="692" customFormat="1">
      <c r="A58" s="693" t="s">
        <v>2722</v>
      </c>
      <c r="B58" s="262" t="e">
        <f t="shared" ref="B58:B65" si="17">ROUND($C$48*C58*D58,0)</f>
        <v>#DIV/0!</v>
      </c>
      <c r="C58" s="200">
        <f t="shared" si="16"/>
        <v>0.4</v>
      </c>
      <c r="D58" s="1160">
        <v>0.25</v>
      </c>
      <c r="E58" s="694"/>
      <c r="F58" s="1099" t="e">
        <f t="shared" si="15"/>
        <v>#DIV/0!</v>
      </c>
      <c r="G58" s="3390"/>
      <c r="H58" s="1100" t="str">
        <f>项目基本情况!B37</f>
        <v>三级</v>
      </c>
      <c r="I58" s="1104">
        <f>SUMIF(修正!A45:A56,H58,修正!C45:C56)</f>
        <v>0.4</v>
      </c>
      <c r="J58" s="1108"/>
      <c r="K58" s="1141"/>
      <c r="L58" s="937"/>
      <c r="M58" s="937"/>
      <c r="N58" s="937"/>
      <c r="O58" s="937"/>
    </row>
    <row r="59" spans="1:15" s="692" customFormat="1">
      <c r="A59" s="693" t="s">
        <v>2723</v>
      </c>
      <c r="B59" s="262" t="e">
        <f t="shared" si="17"/>
        <v>#DIV/0!</v>
      </c>
      <c r="C59" s="200">
        <f t="shared" si="16"/>
        <v>0.28000000000000003</v>
      </c>
      <c r="D59" s="1160">
        <v>0.25</v>
      </c>
      <c r="E59" s="694"/>
      <c r="F59" s="1099" t="e">
        <f t="shared" si="15"/>
        <v>#DIV/0!</v>
      </c>
      <c r="G59" s="3390"/>
      <c r="H59" s="1100" t="str">
        <f>项目基本情况!B37</f>
        <v>三级</v>
      </c>
      <c r="I59" s="1104">
        <f>SUMIF(修正!A45:A56,H59,修正!D45:D56)</f>
        <v>0.28000000000000003</v>
      </c>
      <c r="J59" s="1108"/>
      <c r="K59" s="1140"/>
      <c r="L59" s="937"/>
      <c r="M59" s="937"/>
      <c r="N59" s="937"/>
      <c r="O59" s="937"/>
    </row>
    <row r="60" spans="1:15" s="692" customFormat="1">
      <c r="A60" s="693" t="s">
        <v>2724</v>
      </c>
      <c r="B60" s="262" t="e">
        <f t="shared" si="17"/>
        <v>#DIV/0!</v>
      </c>
      <c r="C60" s="200">
        <f t="shared" si="16"/>
        <v>0.25</v>
      </c>
      <c r="D60" s="1160">
        <v>0.25</v>
      </c>
      <c r="E60" s="694"/>
      <c r="F60" s="1099" t="e">
        <f t="shared" si="15"/>
        <v>#DIV/0!</v>
      </c>
      <c r="G60" s="3390"/>
      <c r="H60" s="1100" t="str">
        <f>项目基本情况!B37</f>
        <v>三级</v>
      </c>
      <c r="I60" s="1104">
        <f>SUMIF(修正!A45:A56,H60,修正!E45:E56)</f>
        <v>0.25</v>
      </c>
      <c r="J60" s="1108"/>
      <c r="K60" s="1141"/>
      <c r="L60" s="937"/>
      <c r="M60" s="937"/>
      <c r="N60" s="937"/>
      <c r="O60" s="937"/>
    </row>
    <row r="61" spans="1:15" s="692" customFormat="1">
      <c r="A61" s="693" t="s">
        <v>2725</v>
      </c>
      <c r="B61" s="262" t="e">
        <f t="shared" si="17"/>
        <v>#DIV/0!</v>
      </c>
      <c r="C61" s="200">
        <f t="shared" si="16"/>
        <v>0.25</v>
      </c>
      <c r="D61" s="1160">
        <v>0.25</v>
      </c>
      <c r="E61" s="261">
        <f>'数据-汇总表'!E11</f>
        <v>2010.68</v>
      </c>
      <c r="F61" s="1099" t="e">
        <f t="shared" si="15"/>
        <v>#DIV/0!</v>
      </c>
      <c r="G61" s="2705" t="s">
        <v>2726</v>
      </c>
      <c r="H61" s="1100" t="str">
        <f>项目基本情况!C37</f>
        <v>三级</v>
      </c>
      <c r="I61" s="1104">
        <f>SUMIF(修正!A45:A56,H61,修正!F45:F56)</f>
        <v>0.25</v>
      </c>
      <c r="J61" s="1108"/>
      <c r="K61" s="1140"/>
      <c r="L61" s="937"/>
      <c r="M61" s="937"/>
      <c r="N61" s="937"/>
      <c r="O61" s="937"/>
    </row>
    <row r="62" spans="1:15" s="692" customFormat="1">
      <c r="A62" s="693" t="s">
        <v>2727</v>
      </c>
      <c r="B62" s="262" t="e">
        <f t="shared" si="17"/>
        <v>#DIV/0!</v>
      </c>
      <c r="C62" s="200">
        <f t="shared" si="16"/>
        <v>0.25</v>
      </c>
      <c r="D62" s="1160">
        <v>0.25</v>
      </c>
      <c r="E62" s="261">
        <f>'数据-汇总表'!E12</f>
        <v>0</v>
      </c>
      <c r="F62" s="1099" t="e">
        <f t="shared" si="15"/>
        <v>#DIV/0!</v>
      </c>
      <c r="G62" s="1105" t="s">
        <v>2728</v>
      </c>
      <c r="H62" s="1100" t="str">
        <f>IF(G62="商业",项目基本情况!B37,IF(G62="办公",项目基本情况!C37,IF(G62="住宅",项目基本情况!D37,项目基本情况!E37)))</f>
        <v>三级</v>
      </c>
      <c r="I62" s="1104">
        <f>SUMIF(修正!A45:A56,H62,修正!G45:G56)</f>
        <v>0.25</v>
      </c>
      <c r="J62" s="1108"/>
      <c r="K62" s="1141"/>
      <c r="L62" s="937"/>
      <c r="M62" s="937"/>
      <c r="N62" s="937"/>
      <c r="O62" s="937"/>
    </row>
    <row r="63" spans="1:15" s="692" customFormat="1">
      <c r="A63" s="693" t="s">
        <v>2729</v>
      </c>
      <c r="B63" s="262" t="e">
        <f t="shared" si="17"/>
        <v>#DIV/0!</v>
      </c>
      <c r="C63" s="200">
        <f t="shared" si="16"/>
        <v>0</v>
      </c>
      <c r="D63" s="1160">
        <v>0.25</v>
      </c>
      <c r="E63" s="261">
        <f>'数据-汇总表'!E13</f>
        <v>165.07999999999998</v>
      </c>
      <c r="F63" s="1099" t="e">
        <f t="shared" si="15"/>
        <v>#DIV/0!</v>
      </c>
      <c r="G63" s="1105" t="s">
        <v>2730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2731</v>
      </c>
      <c r="B64" s="262" t="e">
        <f t="shared" si="17"/>
        <v>#DIV/0!</v>
      </c>
      <c r="C64" s="200">
        <f t="shared" si="16"/>
        <v>0.2</v>
      </c>
      <c r="D64" s="1160">
        <v>0.25</v>
      </c>
      <c r="E64" s="261">
        <f>'数据-汇总表'!E14</f>
        <v>0</v>
      </c>
      <c r="F64" s="1099" t="e">
        <f t="shared" si="15"/>
        <v>#DIV/0!</v>
      </c>
      <c r="G64" s="2705" t="s">
        <v>2721</v>
      </c>
      <c r="H64" s="1100" t="str">
        <f>项目基本情况!B37</f>
        <v>三级</v>
      </c>
      <c r="I64" s="1104">
        <f>SUMIF(修正!A45:A56,H64,修正!H45:H56)</f>
        <v>0.2</v>
      </c>
      <c r="J64" s="1108"/>
      <c r="K64" s="1141"/>
      <c r="L64" s="937"/>
      <c r="M64" s="937"/>
      <c r="N64" s="937"/>
      <c r="O64" s="937"/>
    </row>
    <row r="65" spans="1:17" s="692" customFormat="1" ht="15" thickBot="1">
      <c r="A65" s="693" t="s">
        <v>2732</v>
      </c>
      <c r="B65" s="262" t="e">
        <f t="shared" si="17"/>
        <v>#DIV/0!</v>
      </c>
      <c r="C65" s="200">
        <f t="shared" si="16"/>
        <v>0.2</v>
      </c>
      <c r="D65" s="1160">
        <v>0.25</v>
      </c>
      <c r="E65" s="261">
        <f>'数据-汇总表'!E15</f>
        <v>0</v>
      </c>
      <c r="F65" s="1099" t="e">
        <f t="shared" si="15"/>
        <v>#DIV/0!</v>
      </c>
      <c r="G65" s="2706" t="s">
        <v>2726</v>
      </c>
      <c r="H65" s="1110" t="str">
        <f>项目基本情况!C37</f>
        <v>三级</v>
      </c>
      <c r="I65" s="1106">
        <f>SUMIF(修正!A45:A56,H65,修正!H45:H56)</f>
        <v>0.2</v>
      </c>
      <c r="J65" s="1109"/>
      <c r="K65" s="1140"/>
      <c r="L65" s="937"/>
      <c r="M65" s="937"/>
      <c r="N65" s="937"/>
      <c r="O65" s="937"/>
    </row>
    <row r="66" spans="1:17" s="692" customFormat="1" ht="13.5" thickBot="1">
      <c r="A66" s="695" t="s">
        <v>2733</v>
      </c>
      <c r="B66" s="696" t="s">
        <v>28</v>
      </c>
      <c r="C66" s="696" t="s">
        <v>29</v>
      </c>
      <c r="D66" s="696" t="s">
        <v>1025</v>
      </c>
      <c r="E66" s="696">
        <f>IF(B46="楼面地价",SUM(E56:E65),'数据-汇总表'!D3)</f>
        <v>21282.420000000006</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2627</v>
      </c>
      <c r="B69" s="759"/>
      <c r="C69" s="764"/>
      <c r="D69" s="764"/>
      <c r="E69" s="764"/>
      <c r="F69" s="765"/>
      <c r="G69" s="765"/>
      <c r="H69" s="764"/>
      <c r="I69" s="764"/>
      <c r="J69" s="1155"/>
      <c r="K69" s="1156"/>
      <c r="L69" s="1157"/>
      <c r="M69" s="1155"/>
      <c r="N69" s="1155"/>
      <c r="O69" s="1155"/>
      <c r="P69" s="503"/>
      <c r="Q69" s="504"/>
    </row>
    <row r="70" spans="1:17" s="508" customFormat="1" ht="15">
      <c r="A70" s="2707" t="s">
        <v>2734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8" t="s">
        <v>2735</v>
      </c>
      <c r="B71" s="332" t="str">
        <f>"北京市平均增长率"&amp;TEXT(SUMIF('基准地价修正-办公、车库'!N21:N25,A71,'基准地价修正-办公、车库'!P21:P25),"0.00%")</f>
        <v>北京市平均增长率2.16%</v>
      </c>
      <c r="C71" s="603">
        <v>100</v>
      </c>
      <c r="D71" s="595"/>
      <c r="E71" s="595"/>
      <c r="F71" s="595"/>
      <c r="G71" s="595"/>
      <c r="H71" s="595"/>
      <c r="I71" s="595"/>
      <c r="J71" s="595"/>
      <c r="K71" s="595"/>
      <c r="L71" s="595"/>
      <c r="M71" s="1562"/>
      <c r="N71" s="595"/>
      <c r="O71" s="1563"/>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2736</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2737</v>
      </c>
      <c r="C96" s="578" t="s">
        <v>2550</v>
      </c>
      <c r="D96" s="578" t="s">
        <v>2551</v>
      </c>
      <c r="E96" s="578" t="s">
        <v>2552</v>
      </c>
      <c r="F96" s="578" t="s">
        <v>2553</v>
      </c>
      <c r="G96" s="578" t="s">
        <v>2554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2738</v>
      </c>
      <c r="C98" s="573" t="s">
        <v>2550</v>
      </c>
      <c r="D98" s="573" t="s">
        <v>2551</v>
      </c>
      <c r="E98" s="573" t="s">
        <v>2552</v>
      </c>
      <c r="F98" s="573" t="s">
        <v>2553</v>
      </c>
      <c r="G98" s="573" t="s">
        <v>2554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2516</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92" priority="14" stopIfTrue="1" operator="containsText" text="超过">
      <formula>NOT(ISERROR(SEARCH("超过",F51)))</formula>
    </cfRule>
  </conditionalFormatting>
  <conditionalFormatting sqref="J53">
    <cfRule type="containsText" dxfId="91" priority="13" stopIfTrue="1" operator="containsText" text="超过">
      <formula>NOT(ISERROR(SEARCH("超过",J53)))</formula>
    </cfRule>
  </conditionalFormatting>
  <conditionalFormatting sqref="H53">
    <cfRule type="containsText" dxfId="90" priority="12" stopIfTrue="1" operator="containsText" text="超过">
      <formula>NOT(ISERROR(SEARCH("超过",H53)))</formula>
    </cfRule>
  </conditionalFormatting>
  <conditionalFormatting sqref="F53">
    <cfRule type="containsText" dxfId="89" priority="11" stopIfTrue="1" operator="containsText" text="超过">
      <formula>NOT(ISERROR(SEARCH("超过",F53)))</formula>
    </cfRule>
  </conditionalFormatting>
  <conditionalFormatting sqref="F52 H52 J52">
    <cfRule type="containsText" dxfId="88" priority="10" stopIfTrue="1" operator="containsText" text="超过">
      <formula>NOT(ISERROR(SEARCH("超过",F52)))</formula>
    </cfRule>
  </conditionalFormatting>
  <conditionalFormatting sqref="E51">
    <cfRule type="expression" dxfId="87" priority="9" stopIfTrue="1">
      <formula>$F$51="超过30%"</formula>
    </cfRule>
  </conditionalFormatting>
  <conditionalFormatting sqref="G53">
    <cfRule type="expression" dxfId="86" priority="8" stopIfTrue="1">
      <formula>$H$53="超过30%"</formula>
    </cfRule>
  </conditionalFormatting>
  <conditionalFormatting sqref="E52">
    <cfRule type="expression" dxfId="85" priority="7" stopIfTrue="1">
      <formula>$F$52="超过20%"</formula>
    </cfRule>
  </conditionalFormatting>
  <conditionalFormatting sqref="E53">
    <cfRule type="expression" dxfId="84" priority="6" stopIfTrue="1">
      <formula>$F$53="超过30%"</formula>
    </cfRule>
  </conditionalFormatting>
  <conditionalFormatting sqref="G51">
    <cfRule type="expression" dxfId="83" priority="5" stopIfTrue="1">
      <formula>$H$53+$H$51="超过30%"</formula>
    </cfRule>
  </conditionalFormatting>
  <conditionalFormatting sqref="G52">
    <cfRule type="expression" dxfId="82" priority="4" stopIfTrue="1">
      <formula>$H$52="超过20%"</formula>
    </cfRule>
  </conditionalFormatting>
  <conditionalFormatting sqref="I51">
    <cfRule type="expression" dxfId="81" priority="3" stopIfTrue="1">
      <formula>$J$51="超过30%"</formula>
    </cfRule>
  </conditionalFormatting>
  <conditionalFormatting sqref="I52">
    <cfRule type="expression" dxfId="80" priority="2" stopIfTrue="1">
      <formula>$J$52="超过20%"</formula>
    </cfRule>
  </conditionalFormatting>
  <conditionalFormatting sqref="I53">
    <cfRule type="expression" dxfId="7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00" t="s">
        <v>2601</v>
      </c>
      <c r="AC4" s="3299" t="s">
        <v>2602</v>
      </c>
    </row>
    <row r="5" spans="1:29" ht="15">
      <c r="A5" s="404"/>
      <c r="B5" s="405"/>
      <c r="C5" s="3310" t="s">
        <v>2495</v>
      </c>
      <c r="D5" s="3311"/>
      <c r="E5" s="3308" t="s">
        <v>2496</v>
      </c>
      <c r="F5" s="3309"/>
      <c r="G5" s="3310" t="s">
        <v>2497</v>
      </c>
      <c r="H5" s="3311"/>
      <c r="I5" s="3310" t="s">
        <v>2498</v>
      </c>
      <c r="J5" s="3311"/>
      <c r="K5" s="610"/>
      <c r="L5" s="1126"/>
      <c r="M5" s="1127"/>
      <c r="N5" s="1127"/>
      <c r="O5" s="1127"/>
      <c r="P5" s="3323"/>
      <c r="Q5" s="3324"/>
      <c r="R5" s="3306"/>
      <c r="S5" s="3307"/>
      <c r="T5" s="3306"/>
      <c r="U5" s="3307"/>
      <c r="V5" s="3329"/>
      <c r="W5" s="3329"/>
      <c r="X5" s="1808"/>
      <c r="Y5" s="3306"/>
      <c r="Z5" s="3307"/>
      <c r="AA5" s="3300"/>
      <c r="AB5" s="3300"/>
      <c r="AC5" s="3300"/>
    </row>
    <row r="6" spans="1:29" ht="15.75" thickBot="1">
      <c r="A6" s="406"/>
      <c r="B6" s="407"/>
      <c r="C6" s="3391" t="s">
        <v>2749</v>
      </c>
      <c r="D6" s="3392"/>
      <c r="E6" s="3393" t="s">
        <v>2749</v>
      </c>
      <c r="F6" s="3394"/>
      <c r="G6" s="3391" t="s">
        <v>2749</v>
      </c>
      <c r="H6" s="3392"/>
      <c r="I6" s="3391" t="s">
        <v>2749</v>
      </c>
      <c r="J6" s="3392"/>
      <c r="K6" s="610" t="s">
        <v>2500</v>
      </c>
      <c r="L6" s="1126"/>
      <c r="M6" s="1127"/>
      <c r="N6" s="1127"/>
      <c r="O6" s="1127"/>
      <c r="P6" s="3325"/>
      <c r="Q6" s="3326"/>
      <c r="R6" s="3306"/>
      <c r="S6" s="3307"/>
      <c r="T6" s="3327"/>
      <c r="U6" s="3328"/>
      <c r="V6" s="3329"/>
      <c r="W6" s="3329"/>
      <c r="X6" s="1808"/>
      <c r="Y6" s="3327"/>
      <c r="Z6" s="3328"/>
      <c r="AA6" s="3301"/>
      <c r="AB6" s="3301"/>
      <c r="AC6" s="3301"/>
    </row>
    <row r="7" spans="1:29" s="117" customFormat="1" ht="15.75" thickBot="1">
      <c r="A7" s="408" t="s">
        <v>2501</v>
      </c>
      <c r="B7" s="409"/>
      <c r="C7" s="410">
        <f>'数据-取费表'!B2</f>
        <v>43795</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302" t="s">
        <v>2502</v>
      </c>
      <c r="Q7" s="3330"/>
      <c r="R7" s="770" t="s">
        <v>17</v>
      </c>
      <c r="S7" s="771">
        <f t="shared" ref="S7:S15" si="0">F7</f>
        <v>0</v>
      </c>
      <c r="T7" s="770" t="s">
        <v>17</v>
      </c>
      <c r="U7" s="771">
        <f t="shared" ref="U7:U15" si="1">H7</f>
        <v>0</v>
      </c>
      <c r="V7" s="770" t="s">
        <v>17</v>
      </c>
      <c r="W7" s="771">
        <f t="shared" ref="W7:W15" si="2">J7</f>
        <v>0</v>
      </c>
      <c r="X7" s="772"/>
      <c r="Y7" s="3302" t="s">
        <v>2502</v>
      </c>
      <c r="Z7" s="3303"/>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02" t="s">
        <v>2505</v>
      </c>
      <c r="Q8" s="3303"/>
      <c r="R8" s="770" t="s">
        <v>17</v>
      </c>
      <c r="S8" s="771">
        <f t="shared" si="0"/>
        <v>0</v>
      </c>
      <c r="T8" s="770" t="s">
        <v>17</v>
      </c>
      <c r="U8" s="771">
        <f t="shared" si="1"/>
        <v>0</v>
      </c>
      <c r="V8" s="770" t="s">
        <v>17</v>
      </c>
      <c r="W8" s="771">
        <f t="shared" si="2"/>
        <v>0</v>
      </c>
      <c r="X8" s="772"/>
      <c r="Y8" s="3302" t="s">
        <v>2505</v>
      </c>
      <c r="Z8" s="3303"/>
      <c r="AA8" s="773" t="e">
        <f t="shared" ref="AA8:AA40" si="3">D8/F8</f>
        <v>#DIV/0!</v>
      </c>
      <c r="AB8" s="773" t="e">
        <f t="shared" ref="AB8:AB40" si="4">D8/H8</f>
        <v>#DIV/0!</v>
      </c>
      <c r="AC8" s="773" t="e">
        <f t="shared" ref="AC8:AC40" si="5">D8/J8</f>
        <v>#DIV/0!</v>
      </c>
    </row>
    <row r="9" spans="1:29" s="117" customFormat="1">
      <c r="A9" s="415" t="s">
        <v>2506</v>
      </c>
      <c r="B9" s="71" t="s">
        <v>2507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334"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142</v>
      </c>
      <c r="G10" s="432"/>
      <c r="H10" s="136">
        <f>ROUND(100/'数据-取费表'!G16,0)</f>
        <v>142</v>
      </c>
      <c r="I10" s="432"/>
      <c r="J10" s="136">
        <f>ROUND(100/'数据-取费表'!G16,0)</f>
        <v>142</v>
      </c>
      <c r="K10" s="672"/>
      <c r="L10" s="1131"/>
      <c r="M10" s="1132"/>
      <c r="N10" s="1132"/>
      <c r="O10" s="1133"/>
      <c r="P10" s="3334"/>
      <c r="Q10" s="1790" t="str">
        <f t="shared" si="6"/>
        <v>土地使用年限（年）</v>
      </c>
      <c r="R10" s="770" t="s">
        <v>17</v>
      </c>
      <c r="S10" s="771">
        <f t="shared" si="0"/>
        <v>142</v>
      </c>
      <c r="T10" s="770" t="s">
        <v>17</v>
      </c>
      <c r="U10" s="771">
        <f t="shared" si="1"/>
        <v>142</v>
      </c>
      <c r="V10" s="770" t="s">
        <v>17</v>
      </c>
      <c r="W10" s="771">
        <f t="shared" si="2"/>
        <v>142</v>
      </c>
      <c r="X10" s="772"/>
      <c r="Y10" s="3146"/>
      <c r="Z10" s="55" t="str">
        <f t="shared" si="7"/>
        <v>土地使用年限（年）</v>
      </c>
      <c r="AA10" s="773">
        <f t="shared" si="3"/>
        <v>0.70422535211267601</v>
      </c>
      <c r="AB10" s="773">
        <f t="shared" si="4"/>
        <v>0.70422535211267601</v>
      </c>
      <c r="AC10" s="773">
        <f t="shared" si="5"/>
        <v>0.70422535211267601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334"/>
      <c r="Q11" s="1790" t="str">
        <f t="shared" si="6"/>
        <v>容积率</v>
      </c>
      <c r="R11" s="770" t="s">
        <v>17</v>
      </c>
      <c r="S11" s="771" t="e">
        <f t="shared" si="0"/>
        <v>#N/A</v>
      </c>
      <c r="T11" s="770" t="s">
        <v>17</v>
      </c>
      <c r="U11" s="771" t="e">
        <f t="shared" si="1"/>
        <v>#N/A</v>
      </c>
      <c r="V11" s="770" t="s">
        <v>17</v>
      </c>
      <c r="W11" s="771" t="e">
        <f t="shared" si="2"/>
        <v>#N/A</v>
      </c>
      <c r="X11" s="772"/>
      <c r="Y11" s="314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334"/>
      <c r="Q12" s="1790">
        <f t="shared" si="6"/>
        <v>111</v>
      </c>
      <c r="R12" s="770" t="s">
        <v>17</v>
      </c>
      <c r="S12" s="771">
        <f t="shared" si="0"/>
        <v>100</v>
      </c>
      <c r="T12" s="770" t="s">
        <v>17</v>
      </c>
      <c r="U12" s="771">
        <f t="shared" si="1"/>
        <v>100</v>
      </c>
      <c r="V12" s="770" t="s">
        <v>17</v>
      </c>
      <c r="W12" s="771">
        <f t="shared" si="2"/>
        <v>100</v>
      </c>
      <c r="X12" s="772"/>
      <c r="Y12" s="314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334"/>
      <c r="Q13" s="1790">
        <f t="shared" si="6"/>
        <v>111</v>
      </c>
      <c r="R13" s="770" t="s">
        <v>17</v>
      </c>
      <c r="S13" s="771">
        <f t="shared" si="0"/>
        <v>100</v>
      </c>
      <c r="T13" s="770" t="s">
        <v>17</v>
      </c>
      <c r="U13" s="771">
        <f t="shared" si="1"/>
        <v>100</v>
      </c>
      <c r="V13" s="770" t="s">
        <v>17</v>
      </c>
      <c r="W13" s="771">
        <f t="shared" si="2"/>
        <v>100</v>
      </c>
      <c r="X13" s="772"/>
      <c r="Y13" s="3146"/>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334"/>
      <c r="Q14" s="1790">
        <f t="shared" si="6"/>
        <v>111</v>
      </c>
      <c r="R14" s="770" t="s">
        <v>17</v>
      </c>
      <c r="S14" s="771">
        <f t="shared" si="0"/>
        <v>100</v>
      </c>
      <c r="T14" s="770" t="s">
        <v>17</v>
      </c>
      <c r="U14" s="771">
        <f t="shared" si="1"/>
        <v>100</v>
      </c>
      <c r="V14" s="770" t="s">
        <v>17</v>
      </c>
      <c r="W14" s="771">
        <f t="shared" si="2"/>
        <v>100</v>
      </c>
      <c r="X14" s="772"/>
      <c r="Y14" s="3146"/>
      <c r="Z14" s="55">
        <f t="shared" si="7"/>
        <v>111</v>
      </c>
      <c r="AA14" s="773">
        <f t="shared" si="3"/>
        <v>1</v>
      </c>
      <c r="AB14" s="773">
        <f t="shared" si="4"/>
        <v>1</v>
      </c>
      <c r="AC14" s="773">
        <f t="shared" si="5"/>
        <v>1</v>
      </c>
    </row>
    <row r="15" spans="1:29" ht="15">
      <c r="A15" s="440" t="s">
        <v>2512</v>
      </c>
      <c r="B15" s="629" t="s">
        <v>2750</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336" t="s">
        <v>2513</v>
      </c>
      <c r="Q15" s="1805" t="str">
        <f t="shared" si="6"/>
        <v>产业集聚程度</v>
      </c>
      <c r="R15" s="774" t="s">
        <v>17</v>
      </c>
      <c r="S15" s="775">
        <f t="shared" si="0"/>
        <v>100</v>
      </c>
      <c r="T15" s="774" t="s">
        <v>17</v>
      </c>
      <c r="U15" s="775">
        <f t="shared" si="1"/>
        <v>100</v>
      </c>
      <c r="V15" s="774" t="s">
        <v>17</v>
      </c>
      <c r="W15" s="775">
        <f t="shared" si="2"/>
        <v>100</v>
      </c>
      <c r="X15" s="1808"/>
      <c r="Y15" s="3336" t="s">
        <v>2513</v>
      </c>
      <c r="Z15" s="1809" t="str">
        <f t="shared" si="7"/>
        <v>产业集聚程度</v>
      </c>
      <c r="AA15" s="1806">
        <f t="shared" si="3"/>
        <v>1</v>
      </c>
      <c r="AB15" s="1806">
        <f t="shared" si="4"/>
        <v>1</v>
      </c>
      <c r="AC15" s="1806">
        <f t="shared" si="5"/>
        <v>1</v>
      </c>
    </row>
    <row r="16" spans="1:29" ht="15">
      <c r="A16" s="428"/>
      <c r="B16" s="630"/>
      <c r="C16" s="447"/>
      <c r="D16" s="448"/>
      <c r="E16" s="2607"/>
      <c r="F16" s="448"/>
      <c r="G16" s="2607"/>
      <c r="H16" s="450"/>
      <c r="I16" s="2607"/>
      <c r="J16" s="448"/>
      <c r="K16" s="672"/>
      <c r="L16" s="1136"/>
      <c r="M16" s="1127"/>
      <c r="N16" s="1127"/>
      <c r="O16" s="1135"/>
      <c r="P16" s="3337"/>
      <c r="Q16" s="1805"/>
      <c r="R16" s="774"/>
      <c r="S16" s="775"/>
      <c r="T16" s="774"/>
      <c r="U16" s="775"/>
      <c r="V16" s="774"/>
      <c r="W16" s="775"/>
      <c r="X16" s="1808"/>
      <c r="Y16" s="3337"/>
      <c r="Z16" s="1809"/>
      <c r="AA16" s="1806">
        <v>1</v>
      </c>
      <c r="AB16" s="1806">
        <v>1</v>
      </c>
      <c r="AC16" s="1806">
        <v>1</v>
      </c>
    </row>
    <row r="17" spans="1:29" ht="15">
      <c r="A17" s="428"/>
      <c r="B17" s="631" t="s">
        <v>2662</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337"/>
      <c r="Q17" s="1805" t="str">
        <f>B17</f>
        <v>交通便捷度</v>
      </c>
      <c r="R17" s="774" t="s">
        <v>17</v>
      </c>
      <c r="S17" s="775">
        <f>F17</f>
        <v>100</v>
      </c>
      <c r="T17" s="774" t="s">
        <v>17</v>
      </c>
      <c r="U17" s="775">
        <f>H17</f>
        <v>100</v>
      </c>
      <c r="V17" s="774" t="s">
        <v>17</v>
      </c>
      <c r="W17" s="775">
        <f>J17</f>
        <v>100</v>
      </c>
      <c r="X17" s="1808"/>
      <c r="Y17" s="3337"/>
      <c r="Z17" s="1809" t="str">
        <f>Q17</f>
        <v>交通便捷度</v>
      </c>
      <c r="AA17" s="1806">
        <f t="shared" si="3"/>
        <v>1</v>
      </c>
      <c r="AB17" s="1806">
        <f t="shared" si="4"/>
        <v>1</v>
      </c>
      <c r="AC17" s="1806">
        <f t="shared" si="5"/>
        <v>1</v>
      </c>
    </row>
    <row r="18" spans="1:29" ht="15">
      <c r="A18" s="428"/>
      <c r="B18" s="632"/>
      <c r="C18" s="447"/>
      <c r="D18" s="448"/>
      <c r="E18" s="2601"/>
      <c r="F18" s="448"/>
      <c r="G18" s="2601"/>
      <c r="H18" s="448"/>
      <c r="I18" s="2600"/>
      <c r="J18" s="448"/>
      <c r="K18" s="672"/>
      <c r="L18" s="1136"/>
      <c r="M18" s="1127"/>
      <c r="N18" s="1127"/>
      <c r="O18" s="1135"/>
      <c r="P18" s="3337"/>
      <c r="Q18" s="1805"/>
      <c r="R18" s="774"/>
      <c r="S18" s="775"/>
      <c r="T18" s="774"/>
      <c r="U18" s="775"/>
      <c r="V18" s="774"/>
      <c r="W18" s="775"/>
      <c r="X18" s="1808"/>
      <c r="Y18" s="3337"/>
      <c r="Z18" s="1809"/>
      <c r="AA18" s="1806">
        <v>1</v>
      </c>
      <c r="AB18" s="1806">
        <v>1</v>
      </c>
      <c r="AC18" s="1806">
        <v>1</v>
      </c>
    </row>
    <row r="19" spans="1:29" ht="15">
      <c r="A19" s="428"/>
      <c r="B19" s="631" t="s">
        <v>2700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337"/>
      <c r="Q19" s="1805" t="str">
        <f t="shared" ref="Q19:Q33" si="8">B19</f>
        <v>区域土地利用方向</v>
      </c>
      <c r="R19" s="774" t="s">
        <v>17</v>
      </c>
      <c r="S19" s="775">
        <f>F19</f>
        <v>100</v>
      </c>
      <c r="T19" s="774" t="s">
        <v>17</v>
      </c>
      <c r="U19" s="775">
        <f>H19</f>
        <v>100</v>
      </c>
      <c r="V19" s="774" t="s">
        <v>17</v>
      </c>
      <c r="W19" s="775">
        <f>J19</f>
        <v>100</v>
      </c>
      <c r="X19" s="1808"/>
      <c r="Y19" s="3337"/>
      <c r="Z19" s="1809" t="str">
        <f>Q19</f>
        <v>区域土地利用方向</v>
      </c>
      <c r="AA19" s="1806">
        <f t="shared" si="3"/>
        <v>1</v>
      </c>
      <c r="AB19" s="1806">
        <f t="shared" si="4"/>
        <v>1</v>
      </c>
      <c r="AC19" s="1806">
        <f t="shared" si="5"/>
        <v>1</v>
      </c>
    </row>
    <row r="20" spans="1:29" ht="15">
      <c r="A20" s="404"/>
      <c r="B20" s="632"/>
      <c r="C20" s="447"/>
      <c r="D20" s="448"/>
      <c r="E20" s="2601"/>
      <c r="F20" s="448"/>
      <c r="G20" s="2601"/>
      <c r="H20" s="448"/>
      <c r="I20" s="2601"/>
      <c r="J20" s="448"/>
      <c r="K20" s="808"/>
      <c r="L20" s="1136"/>
      <c r="M20" s="1127"/>
      <c r="N20" s="1127"/>
      <c r="O20" s="1135"/>
      <c r="P20" s="3337"/>
      <c r="Q20" s="1805"/>
      <c r="R20" s="774"/>
      <c r="S20" s="775"/>
      <c r="T20" s="774"/>
      <c r="U20" s="775"/>
      <c r="V20" s="774"/>
      <c r="W20" s="775"/>
      <c r="X20" s="1808"/>
      <c r="Y20" s="3337"/>
      <c r="Z20" s="1809"/>
      <c r="AA20" s="1806"/>
      <c r="AB20" s="1806"/>
      <c r="AC20" s="1806"/>
    </row>
    <row r="21" spans="1:29" ht="15">
      <c r="A21" s="404"/>
      <c r="B21" s="631" t="s">
        <v>2751</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337"/>
      <c r="Q21" s="1805" t="str">
        <f t="shared" si="8"/>
        <v>环境状况</v>
      </c>
      <c r="R21" s="774" t="s">
        <v>17</v>
      </c>
      <c r="S21" s="775">
        <f>F21</f>
        <v>100</v>
      </c>
      <c r="T21" s="774" t="s">
        <v>17</v>
      </c>
      <c r="U21" s="775">
        <f>H21</f>
        <v>100</v>
      </c>
      <c r="V21" s="774" t="s">
        <v>17</v>
      </c>
      <c r="W21" s="775">
        <f>J21</f>
        <v>100</v>
      </c>
      <c r="X21" s="1808"/>
      <c r="Y21" s="3337"/>
      <c r="Z21" s="1809" t="str">
        <f>Q21</f>
        <v>环境状况</v>
      </c>
      <c r="AA21" s="1806">
        <f t="shared" si="3"/>
        <v>1</v>
      </c>
      <c r="AB21" s="1806">
        <f t="shared" si="4"/>
        <v>1</v>
      </c>
      <c r="AC21" s="1806">
        <f t="shared" si="5"/>
        <v>1</v>
      </c>
    </row>
    <row r="22" spans="1:29" ht="15">
      <c r="A22" s="404"/>
      <c r="B22" s="632"/>
      <c r="C22" s="447"/>
      <c r="D22" s="448"/>
      <c r="E22" s="2607"/>
      <c r="F22" s="448"/>
      <c r="G22" s="2607"/>
      <c r="H22" s="448"/>
      <c r="I22" s="447"/>
      <c r="J22" s="448"/>
      <c r="K22" s="672"/>
      <c r="L22" s="1136"/>
      <c r="M22" s="1127"/>
      <c r="N22" s="1127"/>
      <c r="O22" s="1135"/>
      <c r="P22" s="3337"/>
      <c r="Q22" s="1805"/>
      <c r="R22" s="774"/>
      <c r="S22" s="775"/>
      <c r="T22" s="774"/>
      <c r="U22" s="775"/>
      <c r="V22" s="774"/>
      <c r="W22" s="775"/>
      <c r="X22" s="1808"/>
      <c r="Y22" s="3337"/>
      <c r="Z22" s="1809"/>
      <c r="AA22" s="1806">
        <v>1</v>
      </c>
      <c r="AB22" s="1806">
        <v>1</v>
      </c>
      <c r="AC22" s="1806">
        <v>1</v>
      </c>
    </row>
    <row r="23" spans="1:29" s="117" customFormat="1" ht="15">
      <c r="A23" s="649"/>
      <c r="B23" s="633" t="s">
        <v>2607</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337"/>
      <c r="Q23" s="1790" t="str">
        <f t="shared" si="8"/>
        <v>公共配套设施</v>
      </c>
      <c r="R23" s="770" t="s">
        <v>17</v>
      </c>
      <c r="S23" s="771">
        <f>F23</f>
        <v>100</v>
      </c>
      <c r="T23" s="770" t="s">
        <v>17</v>
      </c>
      <c r="U23" s="771">
        <f>H23</f>
        <v>100</v>
      </c>
      <c r="V23" s="770" t="s">
        <v>17</v>
      </c>
      <c r="W23" s="771">
        <f>J23</f>
        <v>100</v>
      </c>
      <c r="X23" s="772"/>
      <c r="Y23" s="3337"/>
      <c r="Z23" s="55" t="str">
        <f>Q23</f>
        <v>公共配套设施</v>
      </c>
      <c r="AA23" s="1806">
        <f>D23/F23</f>
        <v>1</v>
      </c>
      <c r="AB23" s="1806">
        <f>D23/H23</f>
        <v>1</v>
      </c>
      <c r="AC23" s="1806">
        <f>D23/J23</f>
        <v>1</v>
      </c>
    </row>
    <row r="24" spans="1:29" s="117" customFormat="1" ht="15">
      <c r="A24" s="649"/>
      <c r="B24" s="632"/>
      <c r="C24" s="2696"/>
      <c r="D24" s="448"/>
      <c r="E24" s="2607"/>
      <c r="F24" s="448"/>
      <c r="G24" s="2607"/>
      <c r="H24" s="448"/>
      <c r="I24" s="447"/>
      <c r="J24" s="448"/>
      <c r="K24" s="672"/>
      <c r="L24" s="1128"/>
      <c r="M24" s="1129"/>
      <c r="N24" s="1129"/>
      <c r="O24" s="1130"/>
      <c r="P24" s="3337"/>
      <c r="Q24" s="1790"/>
      <c r="R24" s="770"/>
      <c r="S24" s="771"/>
      <c r="T24" s="770"/>
      <c r="U24" s="771"/>
      <c r="V24" s="770"/>
      <c r="W24" s="771"/>
      <c r="X24" s="772"/>
      <c r="Y24" s="3337"/>
      <c r="Z24" s="55"/>
      <c r="AA24" s="773">
        <v>1</v>
      </c>
      <c r="AB24" s="773">
        <v>1</v>
      </c>
      <c r="AC24" s="773">
        <v>1</v>
      </c>
    </row>
    <row r="25" spans="1:29" s="117" customFormat="1" ht="15">
      <c r="A25" s="649"/>
      <c r="B25" s="633" t="s">
        <v>2608</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337"/>
      <c r="Q25" s="1790" t="str">
        <f t="shared" ref="Q25" si="9">B25</f>
        <v>基础设施水平</v>
      </c>
      <c r="R25" s="770" t="s">
        <v>17</v>
      </c>
      <c r="S25" s="771">
        <f>F25</f>
        <v>100</v>
      </c>
      <c r="T25" s="770" t="s">
        <v>17</v>
      </c>
      <c r="U25" s="771">
        <f>H25</f>
        <v>100</v>
      </c>
      <c r="V25" s="770" t="s">
        <v>17</v>
      </c>
      <c r="W25" s="771">
        <f>J25</f>
        <v>100</v>
      </c>
      <c r="X25" s="772"/>
      <c r="Y25" s="3337"/>
      <c r="Z25" s="55" t="str">
        <f>Q25</f>
        <v>基础设施水平</v>
      </c>
      <c r="AA25" s="1806">
        <f>D25/F25</f>
        <v>1</v>
      </c>
      <c r="AB25" s="1806">
        <f>D25/H25</f>
        <v>1</v>
      </c>
      <c r="AC25" s="1806">
        <f>D25/J25</f>
        <v>1</v>
      </c>
    </row>
    <row r="26" spans="1:29" s="117" customFormat="1" ht="15">
      <c r="A26" s="649"/>
      <c r="B26" s="632"/>
      <c r="C26" s="2696"/>
      <c r="D26" s="448"/>
      <c r="E26" s="2697"/>
      <c r="F26" s="448"/>
      <c r="G26" s="2697"/>
      <c r="H26" s="448"/>
      <c r="I26" s="2697"/>
      <c r="J26" s="448"/>
      <c r="K26" s="672"/>
      <c r="L26" s="1128"/>
      <c r="M26" s="1129"/>
      <c r="N26" s="1129"/>
      <c r="O26" s="1130"/>
      <c r="P26" s="3337"/>
      <c r="Q26" s="1790"/>
      <c r="R26" s="770"/>
      <c r="S26" s="771"/>
      <c r="T26" s="770"/>
      <c r="U26" s="771"/>
      <c r="V26" s="770"/>
      <c r="W26" s="771"/>
      <c r="X26" s="772"/>
      <c r="Y26" s="3337"/>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337"/>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337"/>
      <c r="Z27" s="1809" t="str">
        <f t="shared" ref="Z27:Z40" si="13">Q27</f>
        <v>临街状况</v>
      </c>
      <c r="AA27" s="1806">
        <f t="shared" si="3"/>
        <v>1</v>
      </c>
      <c r="AB27" s="1806">
        <f t="shared" si="4"/>
        <v>1</v>
      </c>
      <c r="AC27" s="1806">
        <f t="shared" si="5"/>
        <v>1</v>
      </c>
    </row>
    <row r="28" spans="1:29" ht="27">
      <c r="A28" s="428"/>
      <c r="B28" s="633" t="s">
        <v>2644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337"/>
      <c r="Q28" s="1805" t="str">
        <f t="shared" si="8"/>
        <v>毗邻道路的类型与等级</v>
      </c>
      <c r="R28" s="774" t="s">
        <v>17</v>
      </c>
      <c r="S28" s="775">
        <f t="shared" si="10"/>
        <v>100</v>
      </c>
      <c r="T28" s="774" t="s">
        <v>17</v>
      </c>
      <c r="U28" s="775">
        <f t="shared" si="11"/>
        <v>100</v>
      </c>
      <c r="V28" s="774" t="s">
        <v>17</v>
      </c>
      <c r="W28" s="775">
        <f t="shared" si="12"/>
        <v>100</v>
      </c>
      <c r="X28" s="1808"/>
      <c r="Y28" s="3337"/>
      <c r="Z28" s="1809" t="str">
        <f t="shared" si="13"/>
        <v>毗邻道路的类型与等级</v>
      </c>
      <c r="AA28" s="1806">
        <f t="shared" si="3"/>
        <v>1</v>
      </c>
      <c r="AB28" s="1806">
        <f t="shared" si="4"/>
        <v>1</v>
      </c>
      <c r="AC28" s="1806">
        <f t="shared" si="5"/>
        <v>1</v>
      </c>
    </row>
    <row r="29" spans="1:29" ht="15">
      <c r="A29" s="428"/>
      <c r="B29" s="632"/>
      <c r="C29" s="447"/>
      <c r="D29" s="448"/>
      <c r="E29" s="2607"/>
      <c r="F29" s="448"/>
      <c r="G29" s="2607"/>
      <c r="H29" s="448"/>
      <c r="I29" s="2607"/>
      <c r="J29" s="448"/>
      <c r="K29" s="613"/>
      <c r="L29" s="1136"/>
      <c r="M29" s="1127"/>
      <c r="N29" s="1127"/>
      <c r="O29" s="1135"/>
      <c r="P29" s="3337"/>
      <c r="Q29" s="1805"/>
      <c r="R29" s="774"/>
      <c r="S29" s="775"/>
      <c r="T29" s="774"/>
      <c r="U29" s="775"/>
      <c r="V29" s="774"/>
      <c r="W29" s="775"/>
      <c r="X29" s="1808"/>
      <c r="Y29" s="3337"/>
      <c r="Z29" s="1809"/>
      <c r="AA29" s="1806">
        <v>1</v>
      </c>
      <c r="AB29" s="1806">
        <v>1</v>
      </c>
      <c r="AC29" s="1806">
        <v>1</v>
      </c>
    </row>
    <row r="30" spans="1:29" ht="15">
      <c r="A30" s="428"/>
      <c r="B30" s="654" t="s">
        <v>2702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337"/>
      <c r="Q30" s="1805" t="str">
        <f t="shared" si="8"/>
        <v>土地级别</v>
      </c>
      <c r="R30" s="774" t="s">
        <v>17</v>
      </c>
      <c r="S30" s="775">
        <f t="shared" si="10"/>
        <v>100</v>
      </c>
      <c r="T30" s="774" t="s">
        <v>17</v>
      </c>
      <c r="U30" s="775">
        <f t="shared" si="11"/>
        <v>100</v>
      </c>
      <c r="V30" s="774" t="s">
        <v>17</v>
      </c>
      <c r="W30" s="775">
        <f t="shared" si="12"/>
        <v>100</v>
      </c>
      <c r="X30" s="1808"/>
      <c r="Y30" s="3337"/>
      <c r="Z30" s="1809" t="str">
        <f t="shared" si="13"/>
        <v>土地级别</v>
      </c>
      <c r="AA30" s="1806">
        <f t="shared" si="3"/>
        <v>1</v>
      </c>
      <c r="AB30" s="1806">
        <f t="shared" si="4"/>
        <v>1</v>
      </c>
      <c r="AC30" s="1806">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37"/>
      <c r="Q31" s="1805">
        <f t="shared" si="8"/>
        <v>111</v>
      </c>
      <c r="R31" s="774" t="s">
        <v>17</v>
      </c>
      <c r="S31" s="775">
        <f t="shared" si="10"/>
        <v>100</v>
      </c>
      <c r="T31" s="774" t="s">
        <v>17</v>
      </c>
      <c r="U31" s="775">
        <f t="shared" si="11"/>
        <v>100</v>
      </c>
      <c r="V31" s="774" t="s">
        <v>17</v>
      </c>
      <c r="W31" s="775">
        <f t="shared" si="12"/>
        <v>100</v>
      </c>
      <c r="X31" s="1808"/>
      <c r="Y31" s="3337"/>
      <c r="Z31" s="1809">
        <f t="shared" si="13"/>
        <v>111</v>
      </c>
      <c r="AA31" s="1806">
        <f t="shared" si="3"/>
        <v>1</v>
      </c>
      <c r="AB31" s="1806">
        <f t="shared" si="4"/>
        <v>1</v>
      </c>
      <c r="AC31" s="1806">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86" t="s">
        <v>2518</v>
      </c>
      <c r="Q32" s="1805">
        <f t="shared" si="8"/>
        <v>111</v>
      </c>
      <c r="R32" s="774" t="s">
        <v>17</v>
      </c>
      <c r="S32" s="775">
        <f t="shared" si="10"/>
        <v>100</v>
      </c>
      <c r="T32" s="774" t="s">
        <v>17</v>
      </c>
      <c r="U32" s="775">
        <f t="shared" si="11"/>
        <v>100</v>
      </c>
      <c r="V32" s="774" t="s">
        <v>17</v>
      </c>
      <c r="W32" s="775">
        <f t="shared" si="12"/>
        <v>100</v>
      </c>
      <c r="X32" s="1808"/>
      <c r="Y32" s="3341" t="s">
        <v>2518</v>
      </c>
      <c r="Z32" s="1809">
        <f t="shared" si="13"/>
        <v>111</v>
      </c>
      <c r="AA32" s="1806">
        <f t="shared" si="3"/>
        <v>1</v>
      </c>
      <c r="AB32" s="1806">
        <f t="shared" si="4"/>
        <v>1</v>
      </c>
      <c r="AC32" s="1806">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341"/>
      <c r="Q33" s="1805">
        <f t="shared" si="8"/>
        <v>111</v>
      </c>
      <c r="R33" s="777" t="s">
        <v>17</v>
      </c>
      <c r="S33" s="778">
        <f t="shared" si="10"/>
        <v>100</v>
      </c>
      <c r="T33" s="777" t="s">
        <v>17</v>
      </c>
      <c r="U33" s="778">
        <f t="shared" si="11"/>
        <v>100</v>
      </c>
      <c r="V33" s="777" t="s">
        <v>17</v>
      </c>
      <c r="W33" s="778">
        <f t="shared" si="12"/>
        <v>100</v>
      </c>
      <c r="X33" s="779"/>
      <c r="Y33" s="3341"/>
      <c r="Z33" s="780">
        <f t="shared" si="13"/>
        <v>111</v>
      </c>
      <c r="AA33" s="1806">
        <f t="shared" si="3"/>
        <v>1</v>
      </c>
      <c r="AB33" s="1806">
        <f t="shared" si="4"/>
        <v>1</v>
      </c>
      <c r="AC33" s="1806">
        <f t="shared" si="5"/>
        <v>1</v>
      </c>
    </row>
    <row r="34" spans="1:29" ht="15">
      <c r="A34" s="440" t="s">
        <v>2516</v>
      </c>
      <c r="B34" s="456" t="s">
        <v>2703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341"/>
      <c r="Q34" s="1805" t="str">
        <f>B34</f>
        <v>宗地面积</v>
      </c>
      <c r="R34" s="774" t="s">
        <v>17</v>
      </c>
      <c r="S34" s="775" t="e">
        <f t="shared" si="10"/>
        <v>#N/A</v>
      </c>
      <c r="T34" s="774" t="s">
        <v>17</v>
      </c>
      <c r="U34" s="775" t="e">
        <f t="shared" si="11"/>
        <v>#N/A</v>
      </c>
      <c r="V34" s="774" t="s">
        <v>17</v>
      </c>
      <c r="W34" s="775" t="e">
        <f t="shared" si="12"/>
        <v>#N/A</v>
      </c>
      <c r="X34" s="1808"/>
      <c r="Y34" s="3341"/>
      <c r="Z34" s="1809" t="str">
        <f t="shared" si="13"/>
        <v>宗地面积</v>
      </c>
      <c r="AA34" s="1806" t="e">
        <f t="shared" si="3"/>
        <v>#N/A</v>
      </c>
      <c r="AB34" s="1806" t="e">
        <f t="shared" si="4"/>
        <v>#N/A</v>
      </c>
      <c r="AC34" s="1806" t="e">
        <f t="shared" si="5"/>
        <v>#N/A</v>
      </c>
    </row>
    <row r="35" spans="1:29" ht="15">
      <c r="A35" s="472"/>
      <c r="B35" s="422" t="s">
        <v>2704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341"/>
      <c r="Q35" s="1805" t="str">
        <f t="shared" ref="Q35:Q40" si="14">B35</f>
        <v>宗地形状</v>
      </c>
      <c r="R35" s="774" t="s">
        <v>17</v>
      </c>
      <c r="S35" s="775">
        <f t="shared" si="10"/>
        <v>100</v>
      </c>
      <c r="T35" s="774" t="s">
        <v>17</v>
      </c>
      <c r="U35" s="775">
        <f t="shared" si="11"/>
        <v>100</v>
      </c>
      <c r="V35" s="774" t="s">
        <v>17</v>
      </c>
      <c r="W35" s="775">
        <f t="shared" si="12"/>
        <v>100</v>
      </c>
      <c r="X35" s="1808"/>
      <c r="Y35" s="3341"/>
      <c r="Z35" s="1809" t="str">
        <f t="shared" si="13"/>
        <v>宗地形状</v>
      </c>
      <c r="AA35" s="1806">
        <f t="shared" si="3"/>
        <v>1</v>
      </c>
      <c r="AB35" s="1806">
        <f t="shared" si="4"/>
        <v>1</v>
      </c>
      <c r="AC35" s="1806">
        <f t="shared" si="5"/>
        <v>1</v>
      </c>
    </row>
    <row r="36" spans="1:29" s="117" customFormat="1" ht="15">
      <c r="A36" s="473"/>
      <c r="B36" s="422" t="s">
        <v>2706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341"/>
      <c r="Q36" s="1805" t="str">
        <f t="shared" si="14"/>
        <v>宗地开发程度</v>
      </c>
      <c r="R36" s="770" t="s">
        <v>17</v>
      </c>
      <c r="S36" s="771">
        <f t="shared" si="10"/>
        <v>100</v>
      </c>
      <c r="T36" s="770" t="s">
        <v>17</v>
      </c>
      <c r="U36" s="771">
        <f t="shared" si="11"/>
        <v>100</v>
      </c>
      <c r="V36" s="770" t="s">
        <v>17</v>
      </c>
      <c r="W36" s="771">
        <f t="shared" si="12"/>
        <v>100</v>
      </c>
      <c r="X36" s="772"/>
      <c r="Y36" s="3341"/>
      <c r="Z36" s="55" t="str">
        <f t="shared" si="13"/>
        <v>宗地开发程度</v>
      </c>
      <c r="AA36" s="773">
        <f t="shared" si="3"/>
        <v>1</v>
      </c>
      <c r="AB36" s="773">
        <f t="shared" si="4"/>
        <v>1</v>
      </c>
      <c r="AC36" s="773">
        <f t="shared" si="5"/>
        <v>1</v>
      </c>
    </row>
    <row r="37" spans="1:29" ht="15">
      <c r="A37" s="472"/>
      <c r="B37" s="422" t="s">
        <v>2707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341" t="s">
        <v>2518</v>
      </c>
      <c r="Q37" s="1805" t="str">
        <f t="shared" si="14"/>
        <v>工程地质条件</v>
      </c>
      <c r="R37" s="774" t="s">
        <v>17</v>
      </c>
      <c r="S37" s="775">
        <f t="shared" si="10"/>
        <v>100</v>
      </c>
      <c r="T37" s="774" t="s">
        <v>17</v>
      </c>
      <c r="U37" s="775">
        <f t="shared" si="11"/>
        <v>100</v>
      </c>
      <c r="V37" s="774" t="s">
        <v>17</v>
      </c>
      <c r="W37" s="775">
        <f t="shared" si="12"/>
        <v>100</v>
      </c>
      <c r="X37" s="1808"/>
      <c r="Y37" s="3341" t="s">
        <v>2518</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341"/>
      <c r="Q38" s="1805">
        <f t="shared" si="14"/>
        <v>111</v>
      </c>
      <c r="R38" s="774" t="s">
        <v>17</v>
      </c>
      <c r="S38" s="775">
        <f t="shared" si="10"/>
        <v>100</v>
      </c>
      <c r="T38" s="774" t="s">
        <v>17</v>
      </c>
      <c r="U38" s="775">
        <f t="shared" si="11"/>
        <v>100</v>
      </c>
      <c r="V38" s="774" t="s">
        <v>17</v>
      </c>
      <c r="W38" s="775">
        <f t="shared" si="12"/>
        <v>100</v>
      </c>
      <c r="X38" s="1808"/>
      <c r="Y38" s="3341"/>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341"/>
      <c r="Q39" s="1805">
        <f t="shared" si="14"/>
        <v>111</v>
      </c>
      <c r="R39" s="774" t="s">
        <v>17</v>
      </c>
      <c r="S39" s="775">
        <f t="shared" si="10"/>
        <v>100</v>
      </c>
      <c r="T39" s="774" t="s">
        <v>17</v>
      </c>
      <c r="U39" s="775">
        <f t="shared" si="11"/>
        <v>100</v>
      </c>
      <c r="V39" s="774" t="s">
        <v>17</v>
      </c>
      <c r="W39" s="775">
        <f t="shared" si="12"/>
        <v>100</v>
      </c>
      <c r="X39" s="1808"/>
      <c r="Y39" s="3341"/>
      <c r="Z39" s="1809">
        <f t="shared" si="13"/>
        <v>111</v>
      </c>
      <c r="AA39" s="1806">
        <f t="shared" si="3"/>
        <v>1</v>
      </c>
      <c r="AB39" s="1806">
        <f t="shared" si="4"/>
        <v>1</v>
      </c>
      <c r="AC39" s="1806">
        <f t="shared" si="5"/>
        <v>1</v>
      </c>
    </row>
    <row r="40" spans="1:29" s="471" customFormat="1" ht="15.75"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341"/>
      <c r="Q40" s="1805">
        <f t="shared" si="14"/>
        <v>111</v>
      </c>
      <c r="R40" s="777" t="s">
        <v>17</v>
      </c>
      <c r="S40" s="778">
        <f t="shared" si="10"/>
        <v>100</v>
      </c>
      <c r="T40" s="777" t="s">
        <v>17</v>
      </c>
      <c r="U40" s="778">
        <f t="shared" si="11"/>
        <v>100</v>
      </c>
      <c r="V40" s="777" t="s">
        <v>17</v>
      </c>
      <c r="W40" s="778">
        <f t="shared" si="12"/>
        <v>100</v>
      </c>
      <c r="X40" s="779"/>
      <c r="Y40" s="3341"/>
      <c r="Z40" s="780">
        <f t="shared" si="13"/>
        <v>111</v>
      </c>
      <c r="AA40" s="1806">
        <f t="shared" si="3"/>
        <v>1</v>
      </c>
      <c r="AB40" s="1806">
        <f t="shared" si="4"/>
        <v>1</v>
      </c>
      <c r="AC40" s="1806">
        <f t="shared" si="5"/>
        <v>1</v>
      </c>
    </row>
    <row r="41" spans="1:29" ht="15">
      <c r="A41" s="479" t="s">
        <v>2673</v>
      </c>
      <c r="B41" s="2700" t="s">
        <v>2752</v>
      </c>
      <c r="C41" s="682" t="s">
        <v>1</v>
      </c>
      <c r="D41" s="481"/>
      <c r="E41" s="482"/>
      <c r="F41" s="483"/>
      <c r="G41" s="484"/>
      <c r="H41" s="485"/>
      <c r="I41" s="482"/>
      <c r="J41" s="485"/>
      <c r="K41" s="783"/>
      <c r="L41" s="1139"/>
      <c r="M41" s="1127"/>
      <c r="N41" s="1127"/>
      <c r="O41" s="1140"/>
      <c r="P41" s="3334" t="str">
        <f>A41</f>
        <v>成交单价</v>
      </c>
      <c r="Q41" s="3334"/>
      <c r="R41" s="3329">
        <f>E41</f>
        <v>0</v>
      </c>
      <c r="S41" s="3329"/>
      <c r="T41" s="3329">
        <f>G41</f>
        <v>0</v>
      </c>
      <c r="U41" s="3329"/>
      <c r="V41" s="3329">
        <f>I41</f>
        <v>0</v>
      </c>
      <c r="W41" s="3329"/>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9"/>
      <c r="M42" s="1127"/>
      <c r="N42" s="1127"/>
      <c r="O42" s="1140"/>
      <c r="P42" s="3334" t="str">
        <f>A42</f>
        <v>比较价值（元/平方米）</v>
      </c>
      <c r="Q42" s="3334"/>
      <c r="R42" s="3387" t="e">
        <f>ROUND(PRODUCT(R41,AA7:AA40),0)</f>
        <v>#DIV/0!</v>
      </c>
      <c r="S42" s="3387"/>
      <c r="T42" s="3387" t="e">
        <f>ROUND(PRODUCT(T41,AB7:AB40),0)</f>
        <v>#DIV/0!</v>
      </c>
      <c r="U42" s="3387"/>
      <c r="V42" s="3387" t="e">
        <f>ROUND(PRODUCT(V41,AC7:AC40),0)</f>
        <v>#DIV/0!</v>
      </c>
      <c r="W42" s="3387"/>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9"/>
      <c r="M43" s="1127"/>
      <c r="N43" s="1127"/>
      <c r="O43" s="1140"/>
      <c r="P43" s="3331" t="str">
        <f>A43</f>
        <v>估价对象XX用房的比较价值（楼面单价，元/平方米）</v>
      </c>
      <c r="Q43" s="3332"/>
      <c r="R43" s="3388" t="e">
        <f>ROUND(AVERAGE(R42:V42),0)</f>
        <v>#DIV/0!</v>
      </c>
      <c r="S43" s="3388"/>
      <c r="T43" s="3388"/>
      <c r="U43" s="3388"/>
      <c r="V43" s="3388"/>
      <c r="W43" s="3388"/>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2710</v>
      </c>
      <c r="B50" s="685" t="s">
        <v>2711</v>
      </c>
      <c r="C50" s="2701" t="s">
        <v>2712</v>
      </c>
      <c r="D50" s="2702" t="s">
        <v>2713</v>
      </c>
      <c r="E50" s="686" t="s">
        <v>2714</v>
      </c>
      <c r="F50" s="687" t="s">
        <v>2715</v>
      </c>
      <c r="G50" s="3317" t="s">
        <v>2716</v>
      </c>
      <c r="H50" s="3389"/>
      <c r="I50" s="1809" t="s">
        <v>2753</v>
      </c>
      <c r="J50" s="1809">
        <f>项目基本情况!F35</f>
        <v>0</v>
      </c>
      <c r="K50" s="2704" t="s">
        <v>2718</v>
      </c>
      <c r="L50" s="1102"/>
      <c r="M50" s="1140"/>
      <c r="N50" s="1140"/>
      <c r="O50" s="1140"/>
    </row>
    <row r="51" spans="1:17" s="692" customFormat="1">
      <c r="A51" s="688" t="s">
        <v>2719</v>
      </c>
      <c r="B51" s="689" t="e">
        <f>C43</f>
        <v>#DIV/0!</v>
      </c>
      <c r="C51" s="690">
        <v>1</v>
      </c>
      <c r="D51" s="1159">
        <v>1</v>
      </c>
      <c r="E51" s="690">
        <f>'数据-汇总表'!E8+'数据-汇总表'!E9</f>
        <v>19106.660000000003</v>
      </c>
      <c r="F51" s="691" t="e">
        <f t="shared" ref="F51:F60" si="15">ROUND(B51*E51/10000,0)</f>
        <v>#DIV/0!</v>
      </c>
      <c r="G51" s="3316"/>
      <c r="H51" s="3334"/>
      <c r="I51" s="938">
        <v>1</v>
      </c>
      <c r="J51" s="938">
        <v>1</v>
      </c>
      <c r="K51" s="1141"/>
      <c r="L51" s="937"/>
      <c r="M51" s="937"/>
      <c r="N51" s="937"/>
      <c r="O51" s="937"/>
    </row>
    <row r="52" spans="1:17" s="692" customFormat="1">
      <c r="A52" s="693" t="s">
        <v>2720</v>
      </c>
      <c r="B52" s="262" t="e">
        <f>ROUND($C$43*C52*D52,0)</f>
        <v>#DIV/0!</v>
      </c>
      <c r="C52" s="200">
        <f t="shared" ref="C52:C60" si="16">IF($C$50="北京市系数",I52,J52)</f>
        <v>0.7</v>
      </c>
      <c r="D52" s="1160">
        <v>0.25</v>
      </c>
      <c r="E52" s="694"/>
      <c r="F52" s="691" t="e">
        <f t="shared" si="15"/>
        <v>#DIV/0!</v>
      </c>
      <c r="G52" s="3390" t="s">
        <v>2721</v>
      </c>
      <c r="H52" s="1100" t="str">
        <f>项目基本情况!B37</f>
        <v>三级</v>
      </c>
      <c r="I52" s="938">
        <f>SUMIF(修正!A45:A56,H52,修正!B45:B56)</f>
        <v>0.7</v>
      </c>
      <c r="J52" s="939"/>
      <c r="K52" s="1140"/>
      <c r="L52" s="937"/>
      <c r="M52" s="937"/>
      <c r="N52" s="937"/>
      <c r="O52" s="937"/>
    </row>
    <row r="53" spans="1:17" s="692" customFormat="1">
      <c r="A53" s="693" t="s">
        <v>2722</v>
      </c>
      <c r="B53" s="262" t="e">
        <f t="shared" ref="B53:B60" si="17">ROUND($C$43*C53*D53,0)</f>
        <v>#DIV/0!</v>
      </c>
      <c r="C53" s="200">
        <f t="shared" si="16"/>
        <v>0.4</v>
      </c>
      <c r="D53" s="1160">
        <v>0.25</v>
      </c>
      <c r="E53" s="694"/>
      <c r="F53" s="691" t="e">
        <f t="shared" si="15"/>
        <v>#DIV/0!</v>
      </c>
      <c r="G53" s="3390"/>
      <c r="H53" s="1100" t="str">
        <f>项目基本情况!B37</f>
        <v>三级</v>
      </c>
      <c r="I53" s="938">
        <f>SUMIF(修正!A45:A56,H53,修正!C45:C56)</f>
        <v>0.4</v>
      </c>
      <c r="J53" s="939"/>
      <c r="K53" s="1141"/>
      <c r="L53" s="937"/>
      <c r="M53" s="937"/>
      <c r="N53" s="937"/>
      <c r="O53" s="937"/>
    </row>
    <row r="54" spans="1:17" s="692" customFormat="1">
      <c r="A54" s="693" t="s">
        <v>2723</v>
      </c>
      <c r="B54" s="262" t="e">
        <f t="shared" si="17"/>
        <v>#DIV/0!</v>
      </c>
      <c r="C54" s="200">
        <f t="shared" si="16"/>
        <v>0.28000000000000003</v>
      </c>
      <c r="D54" s="1160">
        <v>0.25</v>
      </c>
      <c r="E54" s="694"/>
      <c r="F54" s="691" t="e">
        <f t="shared" si="15"/>
        <v>#DIV/0!</v>
      </c>
      <c r="G54" s="3390"/>
      <c r="H54" s="1100" t="str">
        <f>项目基本情况!B37</f>
        <v>三级</v>
      </c>
      <c r="I54" s="938">
        <f>SUMIF(修正!A45:A56,H54,修正!D45:D56)</f>
        <v>0.28000000000000003</v>
      </c>
      <c r="J54" s="939"/>
      <c r="K54" s="1140"/>
      <c r="L54" s="937"/>
      <c r="M54" s="937"/>
      <c r="N54" s="937"/>
      <c r="O54" s="937"/>
    </row>
    <row r="55" spans="1:17" s="692" customFormat="1">
      <c r="A55" s="693" t="s">
        <v>2724</v>
      </c>
      <c r="B55" s="262" t="e">
        <f t="shared" si="17"/>
        <v>#DIV/0!</v>
      </c>
      <c r="C55" s="200">
        <f t="shared" si="16"/>
        <v>0.25</v>
      </c>
      <c r="D55" s="1160">
        <v>0.25</v>
      </c>
      <c r="E55" s="694"/>
      <c r="F55" s="691" t="e">
        <f t="shared" si="15"/>
        <v>#DIV/0!</v>
      </c>
      <c r="G55" s="3390"/>
      <c r="H55" s="1100" t="str">
        <f>项目基本情况!B37</f>
        <v>三级</v>
      </c>
      <c r="I55" s="938">
        <f>SUMIF(修正!A45:A56,H55,修正!E45:E56)</f>
        <v>0.25</v>
      </c>
      <c r="J55" s="939"/>
      <c r="K55" s="1141"/>
      <c r="L55" s="937"/>
      <c r="M55" s="937"/>
      <c r="N55" s="937"/>
      <c r="O55" s="937"/>
    </row>
    <row r="56" spans="1:17" s="692" customFormat="1">
      <c r="A56" s="693" t="s">
        <v>2725</v>
      </c>
      <c r="B56" s="262" t="e">
        <f t="shared" si="17"/>
        <v>#DIV/0!</v>
      </c>
      <c r="C56" s="200">
        <f t="shared" si="16"/>
        <v>0.25</v>
      </c>
      <c r="D56" s="1160">
        <v>0.25</v>
      </c>
      <c r="E56" s="261">
        <f>'数据-汇总表'!E11</f>
        <v>2010.68</v>
      </c>
      <c r="F56" s="691" t="e">
        <f t="shared" si="15"/>
        <v>#DIV/0!</v>
      </c>
      <c r="G56" s="2705" t="s">
        <v>2726</v>
      </c>
      <c r="H56" s="1100" t="str">
        <f>项目基本情况!C37</f>
        <v>三级</v>
      </c>
      <c r="I56" s="938">
        <f>SUMIF(修正!A45:A56,H56,修正!F45:F56)</f>
        <v>0.25</v>
      </c>
      <c r="J56" s="939"/>
      <c r="K56" s="1140"/>
      <c r="L56" s="937"/>
      <c r="M56" s="937"/>
      <c r="N56" s="937"/>
      <c r="O56" s="937"/>
    </row>
    <row r="57" spans="1:17" s="692" customFormat="1">
      <c r="A57" s="693" t="s">
        <v>2727</v>
      </c>
      <c r="B57" s="262" t="e">
        <f t="shared" si="17"/>
        <v>#DIV/0!</v>
      </c>
      <c r="C57" s="200">
        <f t="shared" si="16"/>
        <v>0.25</v>
      </c>
      <c r="D57" s="1160">
        <v>0.25</v>
      </c>
      <c r="E57" s="261">
        <f>'数据-汇总表'!E12</f>
        <v>0</v>
      </c>
      <c r="F57" s="691" t="e">
        <f t="shared" si="15"/>
        <v>#DIV/0!</v>
      </c>
      <c r="G57" s="1105" t="s">
        <v>2728</v>
      </c>
      <c r="H57" s="1100" t="str">
        <f>IF(G57="商业",项目基本情况!B37,IF(G57="办公",项目基本情况!C37,IF(G57="住宅",项目基本情况!D37,项目基本情况!E37)))</f>
        <v>三级</v>
      </c>
      <c r="I57" s="938">
        <f>SUMIF(修正!A45:A56,H57,修正!G45:G56)</f>
        <v>0.25</v>
      </c>
      <c r="J57" s="939"/>
      <c r="K57" s="1141"/>
      <c r="L57" s="937"/>
      <c r="M57" s="937"/>
      <c r="N57" s="937"/>
      <c r="O57" s="937"/>
    </row>
    <row r="58" spans="1:17" s="692" customFormat="1">
      <c r="A58" s="693" t="s">
        <v>2729</v>
      </c>
      <c r="B58" s="262" t="e">
        <f t="shared" si="17"/>
        <v>#DIV/0!</v>
      </c>
      <c r="C58" s="200">
        <f t="shared" si="16"/>
        <v>0</v>
      </c>
      <c r="D58" s="1160">
        <v>0.25</v>
      </c>
      <c r="E58" s="261">
        <f>'数据-汇总表'!E13</f>
        <v>165.07999999999998</v>
      </c>
      <c r="F58" s="691" t="e">
        <f t="shared" si="15"/>
        <v>#DIV/0!</v>
      </c>
      <c r="G58" s="1105" t="s">
        <v>2730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2731</v>
      </c>
      <c r="B59" s="262" t="e">
        <f t="shared" si="17"/>
        <v>#DIV/0!</v>
      </c>
      <c r="C59" s="200">
        <f t="shared" si="16"/>
        <v>0.2</v>
      </c>
      <c r="D59" s="1160">
        <v>0.25</v>
      </c>
      <c r="E59" s="261">
        <f>'数据-汇总表'!E14</f>
        <v>0</v>
      </c>
      <c r="F59" s="691" t="e">
        <f t="shared" si="15"/>
        <v>#DIV/0!</v>
      </c>
      <c r="G59" s="2705" t="s">
        <v>2721</v>
      </c>
      <c r="H59" s="1100" t="str">
        <f>项目基本情况!B37</f>
        <v>三级</v>
      </c>
      <c r="I59" s="938">
        <f>SUMIF(修正!A45:A56,H59,修正!H45:H56)</f>
        <v>0.2</v>
      </c>
      <c r="J59" s="939"/>
      <c r="K59" s="1141"/>
      <c r="L59" s="937"/>
      <c r="M59" s="937"/>
      <c r="N59" s="937"/>
      <c r="O59" s="937"/>
    </row>
    <row r="60" spans="1:17" s="692" customFormat="1" ht="15" thickBot="1">
      <c r="A60" s="693" t="s">
        <v>2732</v>
      </c>
      <c r="B60" s="262" t="e">
        <f t="shared" si="17"/>
        <v>#DIV/0!</v>
      </c>
      <c r="C60" s="200">
        <f t="shared" si="16"/>
        <v>0.2</v>
      </c>
      <c r="D60" s="1160">
        <v>0.25</v>
      </c>
      <c r="E60" s="261">
        <f>'数据-汇总表'!E15</f>
        <v>0</v>
      </c>
      <c r="F60" s="691" t="e">
        <f t="shared" si="15"/>
        <v>#DIV/0!</v>
      </c>
      <c r="G60" s="2706" t="s">
        <v>2726</v>
      </c>
      <c r="H60" s="1110" t="str">
        <f>项目基本情况!C37</f>
        <v>三级</v>
      </c>
      <c r="I60" s="938">
        <f>SUMIF(修正!A45:A56,H60,修正!H45:H56)</f>
        <v>0.2</v>
      </c>
      <c r="J60" s="939"/>
      <c r="K60" s="1140"/>
      <c r="L60" s="937"/>
      <c r="M60" s="937"/>
      <c r="N60" s="937"/>
      <c r="O60" s="937"/>
    </row>
    <row r="61" spans="1:17" s="692" customFormat="1" ht="15" thickBot="1">
      <c r="A61" s="695" t="s">
        <v>2733</v>
      </c>
      <c r="B61" s="696" t="s">
        <v>28</v>
      </c>
      <c r="C61" s="696" t="s">
        <v>29</v>
      </c>
      <c r="D61" s="696" t="s">
        <v>1025</v>
      </c>
      <c r="E61" s="696">
        <f>IF(B41="楼面地价",SUM(E51:E60),'数据-汇总表'!D3)</f>
        <v>2179.29</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2627</v>
      </c>
      <c r="B64" s="759"/>
      <c r="C64" s="764"/>
      <c r="D64" s="764"/>
      <c r="E64" s="764"/>
      <c r="F64" s="765"/>
      <c r="G64" s="765"/>
      <c r="H64" s="764"/>
      <c r="I64" s="764"/>
      <c r="J64" s="764"/>
      <c r="K64" s="766"/>
      <c r="L64" s="767"/>
      <c r="M64" s="764"/>
      <c r="N64" s="764"/>
      <c r="O64" s="1155"/>
      <c r="P64" s="503"/>
      <c r="Q64" s="504"/>
    </row>
    <row r="65" spans="1:17" s="508" customFormat="1" ht="15">
      <c r="A65" s="2707" t="s">
        <v>2734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2" t="s">
        <v>2754</v>
      </c>
      <c r="B66" s="332" t="str">
        <f>"北京市平均增长率"&amp;TEXT('基准地价修正-办公、车库'!P24,"0.00%")</f>
        <v>北京市平均增长率1.38%</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2737</v>
      </c>
      <c r="C87" s="573" t="s">
        <v>2550</v>
      </c>
      <c r="D87" s="573" t="s">
        <v>2551</v>
      </c>
      <c r="E87" s="573" t="s">
        <v>2552</v>
      </c>
      <c r="F87" s="573" t="s">
        <v>2553</v>
      </c>
      <c r="G87" s="573" t="s">
        <v>2554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2738</v>
      </c>
      <c r="C89" s="573" t="s">
        <v>2550</v>
      </c>
      <c r="D89" s="573" t="s">
        <v>2551</v>
      </c>
      <c r="E89" s="573" t="s">
        <v>2552</v>
      </c>
      <c r="F89" s="573" t="s">
        <v>2553</v>
      </c>
      <c r="G89" s="573" t="s">
        <v>2554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2755</v>
      </c>
      <c r="C93" s="660" t="s">
        <v>2628</v>
      </c>
      <c r="D93" s="660" t="s">
        <v>2629</v>
      </c>
      <c r="E93" s="660" t="s">
        <v>2630</v>
      </c>
      <c r="F93" s="660" t="s">
        <v>2631</v>
      </c>
      <c r="G93" s="660"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2516</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8" priority="14" stopIfTrue="1" operator="containsText" text="超过">
      <formula>NOT(ISERROR(SEARCH("超过",F46)))</formula>
    </cfRule>
  </conditionalFormatting>
  <conditionalFormatting sqref="J48">
    <cfRule type="containsText" dxfId="77" priority="13" stopIfTrue="1" operator="containsText" text="超过">
      <formula>NOT(ISERROR(SEARCH("超过",J48)))</formula>
    </cfRule>
  </conditionalFormatting>
  <conditionalFormatting sqref="H48">
    <cfRule type="containsText" dxfId="76" priority="12" stopIfTrue="1" operator="containsText" text="超过">
      <formula>NOT(ISERROR(SEARCH("超过",H48)))</formula>
    </cfRule>
  </conditionalFormatting>
  <conditionalFormatting sqref="F48">
    <cfRule type="containsText" dxfId="75" priority="11" stopIfTrue="1" operator="containsText" text="超过">
      <formula>NOT(ISERROR(SEARCH("超过",F48)))</formula>
    </cfRule>
  </conditionalFormatting>
  <conditionalFormatting sqref="F47 H47 J47">
    <cfRule type="containsText" dxfId="74" priority="10" stopIfTrue="1" operator="containsText" text="超过">
      <formula>NOT(ISERROR(SEARCH("超过",F47)))</formula>
    </cfRule>
  </conditionalFormatting>
  <conditionalFormatting sqref="E46">
    <cfRule type="expression" dxfId="73" priority="9" stopIfTrue="1">
      <formula>$F$46="超过30%"</formula>
    </cfRule>
  </conditionalFormatting>
  <conditionalFormatting sqref="G48">
    <cfRule type="expression" dxfId="72" priority="8" stopIfTrue="1">
      <formula>$H$48="超过30%"</formula>
    </cfRule>
  </conditionalFormatting>
  <conditionalFormatting sqref="E48">
    <cfRule type="expression" dxfId="71" priority="6" stopIfTrue="1">
      <formula>$F$48="超过30%"</formula>
    </cfRule>
  </conditionalFormatting>
  <conditionalFormatting sqref="G46">
    <cfRule type="expression" dxfId="70" priority="5" stopIfTrue="1">
      <formula>$H$46="超过30%"</formula>
    </cfRule>
  </conditionalFormatting>
  <conditionalFormatting sqref="G47">
    <cfRule type="expression" dxfId="69" priority="4" stopIfTrue="1">
      <formula>$H$47="超过20%"</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conditionalFormatting sqref="E47">
    <cfRule type="expression" dxfId="6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395" t="s">
        <v>183</v>
      </c>
      <c r="B18" s="878" t="s">
        <v>560</v>
      </c>
      <c r="C18" s="879" t="s">
        <v>561</v>
      </c>
      <c r="D18" s="880"/>
      <c r="E18" s="878">
        <v>1</v>
      </c>
      <c r="F18" s="881" t="s">
        <v>562</v>
      </c>
      <c r="G18" s="882"/>
      <c r="H18" s="874"/>
      <c r="I18" s="874"/>
    </row>
    <row r="19" spans="1:9" s="883" customFormat="1" ht="19.5" customHeight="1">
      <c r="A19" s="3395"/>
      <c r="B19" s="3395" t="s">
        <v>563</v>
      </c>
      <c r="C19" s="879" t="s">
        <v>564</v>
      </c>
      <c r="D19" s="880"/>
      <c r="E19" s="878">
        <v>0.9</v>
      </c>
      <c r="F19" s="881" t="s">
        <v>565</v>
      </c>
      <c r="G19" s="882"/>
      <c r="H19" s="874"/>
      <c r="I19" s="874"/>
    </row>
    <row r="20" spans="1:9" s="883" customFormat="1" ht="19.5" customHeight="1">
      <c r="A20" s="3395"/>
      <c r="B20" s="3395"/>
      <c r="C20" s="879" t="s">
        <v>566</v>
      </c>
      <c r="D20" s="880"/>
      <c r="E20" s="878">
        <v>1.1000000000000001</v>
      </c>
      <c r="F20" s="881" t="s">
        <v>567</v>
      </c>
      <c r="G20" s="882"/>
      <c r="H20" s="874"/>
      <c r="I20" s="874"/>
    </row>
    <row r="21" spans="1:9" s="883" customFormat="1" ht="19.5" customHeight="1">
      <c r="A21" s="3395"/>
      <c r="B21" s="3395"/>
      <c r="C21" s="879" t="s">
        <v>568</v>
      </c>
      <c r="D21" s="880"/>
      <c r="E21" s="878">
        <v>0.8</v>
      </c>
      <c r="F21" s="881" t="s">
        <v>569</v>
      </c>
      <c r="G21" s="882"/>
      <c r="H21" s="874"/>
      <c r="I21" s="874"/>
    </row>
    <row r="22" spans="1:9" s="883" customFormat="1" ht="19.5" customHeight="1">
      <c r="A22" s="3395"/>
      <c r="B22" s="3395"/>
      <c r="C22" s="879" t="s">
        <v>570</v>
      </c>
      <c r="D22" s="880"/>
      <c r="E22" s="878">
        <v>0.5</v>
      </c>
      <c r="F22" s="881"/>
      <c r="G22" s="882"/>
      <c r="H22" s="874"/>
      <c r="I22" s="874"/>
    </row>
    <row r="23" spans="1:9" s="883" customFormat="1" ht="19.5" customHeight="1">
      <c r="A23" s="3395" t="s">
        <v>184</v>
      </c>
      <c r="B23" s="878" t="s">
        <v>560</v>
      </c>
      <c r="C23" s="879" t="s">
        <v>571</v>
      </c>
      <c r="D23" s="880"/>
      <c r="E23" s="878">
        <v>1</v>
      </c>
      <c r="F23" s="881" t="s">
        <v>572</v>
      </c>
      <c r="G23" s="882"/>
      <c r="H23" s="874"/>
      <c r="I23" s="874"/>
    </row>
    <row r="24" spans="1:9" s="883" customFormat="1" ht="19.5" customHeight="1">
      <c r="A24" s="3395"/>
      <c r="B24" s="3395" t="s">
        <v>563</v>
      </c>
      <c r="C24" s="879" t="s">
        <v>573</v>
      </c>
      <c r="D24" s="880"/>
      <c r="E24" s="878">
        <v>0.5</v>
      </c>
      <c r="F24" s="881"/>
      <c r="G24" s="882"/>
      <c r="H24" s="874"/>
      <c r="I24" s="874"/>
    </row>
    <row r="25" spans="1:9" s="883" customFormat="1" ht="19.5" customHeight="1">
      <c r="A25" s="3395"/>
      <c r="B25" s="3395"/>
      <c r="C25" s="879" t="s">
        <v>574</v>
      </c>
      <c r="D25" s="880"/>
      <c r="E25" s="878">
        <v>1.1000000000000001</v>
      </c>
      <c r="F25" s="881"/>
      <c r="G25" s="882"/>
      <c r="H25" s="874"/>
      <c r="I25" s="874"/>
    </row>
    <row r="26" spans="1:9" s="883" customFormat="1" ht="19.5" customHeight="1">
      <c r="A26" s="3395"/>
      <c r="B26" s="3395"/>
      <c r="C26" s="879" t="s">
        <v>575</v>
      </c>
      <c r="D26" s="880"/>
      <c r="E26" s="878">
        <v>1.1000000000000001</v>
      </c>
      <c r="F26" s="881"/>
      <c r="G26" s="882"/>
      <c r="H26" s="874"/>
      <c r="I26" s="874"/>
    </row>
    <row r="27" spans="1:9" s="883" customFormat="1" ht="19.5" customHeight="1">
      <c r="A27" s="3395"/>
      <c r="B27" s="3395"/>
      <c r="C27" s="879" t="s">
        <v>576</v>
      </c>
      <c r="D27" s="880"/>
      <c r="E27" s="878">
        <v>0.9</v>
      </c>
      <c r="F27" s="881" t="s">
        <v>577</v>
      </c>
      <c r="G27" s="882"/>
      <c r="H27" s="874"/>
      <c r="I27" s="874"/>
    </row>
    <row r="28" spans="1:9" s="883" customFormat="1" ht="19.5" customHeight="1">
      <c r="A28" s="3395"/>
      <c r="B28" s="3395"/>
      <c r="C28" s="879" t="s">
        <v>578</v>
      </c>
      <c r="D28" s="880"/>
      <c r="E28" s="878">
        <v>0.9</v>
      </c>
      <c r="F28" s="881" t="s">
        <v>579</v>
      </c>
      <c r="G28" s="882"/>
      <c r="H28" s="874"/>
      <c r="I28" s="874"/>
    </row>
    <row r="29" spans="1:9" s="883" customFormat="1" ht="19.5" customHeight="1">
      <c r="A29" s="3395"/>
      <c r="B29" s="3395"/>
      <c r="C29" s="879" t="s">
        <v>580</v>
      </c>
      <c r="D29" s="880"/>
      <c r="E29" s="878">
        <v>0.9</v>
      </c>
      <c r="F29" s="881" t="s">
        <v>581</v>
      </c>
      <c r="G29" s="882"/>
      <c r="H29" s="874"/>
      <c r="I29" s="874"/>
    </row>
    <row r="30" spans="1:9" s="883" customFormat="1" ht="19.5" customHeight="1">
      <c r="A30" s="3395"/>
      <c r="B30" s="3395"/>
      <c r="C30" s="879" t="s">
        <v>582</v>
      </c>
      <c r="D30" s="880"/>
      <c r="E30" s="878">
        <v>0.9</v>
      </c>
      <c r="F30" s="881" t="s">
        <v>583</v>
      </c>
      <c r="G30" s="882"/>
      <c r="H30" s="874"/>
      <c r="I30" s="874"/>
    </row>
    <row r="31" spans="1:9" s="883" customFormat="1" ht="19.5" customHeight="1">
      <c r="A31" s="3395"/>
      <c r="B31" s="3395"/>
      <c r="C31" s="879" t="s">
        <v>584</v>
      </c>
      <c r="D31" s="880"/>
      <c r="E31" s="878">
        <v>0.8</v>
      </c>
      <c r="F31" s="881" t="s">
        <v>585</v>
      </c>
      <c r="G31" s="882"/>
      <c r="H31" s="874"/>
      <c r="I31" s="874"/>
    </row>
    <row r="32" spans="1:9" s="883" customFormat="1" ht="19.5" customHeight="1">
      <c r="A32" s="3395"/>
      <c r="B32" s="3395"/>
      <c r="C32" s="879" t="s">
        <v>586</v>
      </c>
      <c r="D32" s="880"/>
      <c r="E32" s="878">
        <v>0.8</v>
      </c>
      <c r="F32" s="881" t="s">
        <v>587</v>
      </c>
      <c r="G32" s="882"/>
      <c r="H32" s="874"/>
      <c r="I32" s="874"/>
    </row>
    <row r="33" spans="1:9" s="883" customFormat="1" ht="19.5" customHeight="1">
      <c r="A33" s="3395" t="s">
        <v>185</v>
      </c>
      <c r="B33" s="878" t="s">
        <v>560</v>
      </c>
      <c r="C33" s="879" t="s">
        <v>588</v>
      </c>
      <c r="D33" s="880"/>
      <c r="E33" s="878">
        <v>1</v>
      </c>
      <c r="F33" s="881" t="s">
        <v>589</v>
      </c>
      <c r="G33" s="882"/>
      <c r="H33" s="874"/>
      <c r="I33" s="874"/>
    </row>
    <row r="34" spans="1:9" s="883" customFormat="1" ht="19.5" customHeight="1">
      <c r="A34" s="3395"/>
      <c r="B34" s="878" t="s">
        <v>563</v>
      </c>
      <c r="C34" s="879" t="s">
        <v>590</v>
      </c>
      <c r="D34" s="880"/>
      <c r="E34" s="878">
        <v>1.5</v>
      </c>
      <c r="F34" s="881" t="s">
        <v>591</v>
      </c>
      <c r="G34" s="882"/>
      <c r="H34" s="874"/>
      <c r="I34" s="874"/>
    </row>
    <row r="35" spans="1:9" s="883" customFormat="1" ht="19.5" customHeight="1">
      <c r="A35" s="3395" t="s">
        <v>186</v>
      </c>
      <c r="B35" s="878" t="s">
        <v>560</v>
      </c>
      <c r="C35" s="879" t="s">
        <v>592</v>
      </c>
      <c r="D35" s="880"/>
      <c r="E35" s="878">
        <v>1</v>
      </c>
      <c r="F35" s="881" t="s">
        <v>593</v>
      </c>
      <c r="G35" s="882"/>
      <c r="H35" s="874"/>
      <c r="I35" s="874"/>
    </row>
    <row r="36" spans="1:9" s="883" customFormat="1" ht="19.5" customHeight="1">
      <c r="A36" s="3395"/>
      <c r="B36" s="3395" t="s">
        <v>563</v>
      </c>
      <c r="C36" s="879" t="s">
        <v>594</v>
      </c>
      <c r="D36" s="880"/>
      <c r="E36" s="878">
        <v>1</v>
      </c>
      <c r="F36" s="881" t="s">
        <v>595</v>
      </c>
      <c r="G36" s="882"/>
      <c r="H36" s="874"/>
      <c r="I36" s="874"/>
    </row>
    <row r="37" spans="1:9" s="883" customFormat="1" ht="19.5" customHeight="1">
      <c r="A37" s="3395"/>
      <c r="B37" s="3395"/>
      <c r="C37" s="879" t="s">
        <v>596</v>
      </c>
      <c r="D37" s="880"/>
      <c r="E37" s="878">
        <v>1.5</v>
      </c>
      <c r="F37" s="881" t="s">
        <v>597</v>
      </c>
      <c r="G37" s="882"/>
      <c r="H37" s="874"/>
      <c r="I37" s="874"/>
    </row>
    <row r="38" spans="1:9" s="883" customFormat="1" ht="19.5" customHeight="1">
      <c r="A38" s="3395"/>
      <c r="B38" s="3395"/>
      <c r="C38" s="879" t="s">
        <v>598</v>
      </c>
      <c r="D38" s="880"/>
      <c r="E38" s="878">
        <v>1</v>
      </c>
      <c r="F38" s="881" t="s">
        <v>599</v>
      </c>
      <c r="G38" s="882"/>
      <c r="H38" s="874"/>
      <c r="I38" s="874"/>
    </row>
    <row r="39" spans="1:9" s="883" customFormat="1" ht="19.5" customHeight="1">
      <c r="A39" s="3395"/>
      <c r="B39" s="33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95" t="s">
        <v>614</v>
      </c>
      <c r="C61" s="814" t="s">
        <v>615</v>
      </c>
      <c r="D61" s="814" t="s">
        <v>616</v>
      </c>
      <c r="E61" s="891">
        <v>0.5</v>
      </c>
      <c r="F61" s="878">
        <v>80</v>
      </c>
    </row>
    <row r="62" spans="1:8" s="874" customFormat="1" ht="24">
      <c r="A62" s="878">
        <v>2</v>
      </c>
      <c r="B62" s="3395"/>
      <c r="C62" s="814" t="s">
        <v>617</v>
      </c>
      <c r="D62" s="814" t="s">
        <v>618</v>
      </c>
      <c r="E62" s="891">
        <v>0.5</v>
      </c>
      <c r="F62" s="878">
        <v>80</v>
      </c>
    </row>
    <row r="63" spans="1:8" s="874" customFormat="1" ht="36">
      <c r="A63" s="878">
        <v>3</v>
      </c>
      <c r="B63" s="3395"/>
      <c r="C63" s="814" t="s">
        <v>619</v>
      </c>
      <c r="D63" s="814" t="s">
        <v>620</v>
      </c>
      <c r="E63" s="891">
        <v>0.5</v>
      </c>
      <c r="F63" s="878">
        <v>80</v>
      </c>
    </row>
    <row r="64" spans="1:8" s="874" customFormat="1" ht="36">
      <c r="A64" s="878">
        <v>4</v>
      </c>
      <c r="B64" s="3395"/>
      <c r="C64" s="814" t="s">
        <v>621</v>
      </c>
      <c r="D64" s="814" t="s">
        <v>622</v>
      </c>
      <c r="E64" s="891">
        <v>0.4</v>
      </c>
      <c r="F64" s="878">
        <v>60</v>
      </c>
    </row>
    <row r="65" spans="1:6" s="874" customFormat="1" ht="36">
      <c r="A65" s="878">
        <v>5</v>
      </c>
      <c r="B65" s="3395"/>
      <c r="C65" s="814" t="s">
        <v>623</v>
      </c>
      <c r="D65" s="814" t="s">
        <v>624</v>
      </c>
      <c r="E65" s="891">
        <v>0.2</v>
      </c>
      <c r="F65" s="878">
        <v>30</v>
      </c>
    </row>
    <row r="66" spans="1:6" s="874" customFormat="1" ht="36">
      <c r="A66" s="878">
        <v>6</v>
      </c>
      <c r="B66" s="3395"/>
      <c r="C66" s="814" t="s">
        <v>625</v>
      </c>
      <c r="D66" s="814" t="s">
        <v>626</v>
      </c>
      <c r="E66" s="891">
        <v>0.3</v>
      </c>
      <c r="F66" s="878">
        <v>50</v>
      </c>
    </row>
    <row r="67" spans="1:6" s="874" customFormat="1" ht="36">
      <c r="A67" s="878">
        <v>7</v>
      </c>
      <c r="B67" s="3395"/>
      <c r="C67" s="814" t="s">
        <v>627</v>
      </c>
      <c r="D67" s="814" t="s">
        <v>628</v>
      </c>
      <c r="E67" s="891">
        <v>0.2</v>
      </c>
      <c r="F67" s="878">
        <v>30</v>
      </c>
    </row>
    <row r="68" spans="1:6" s="874" customFormat="1" ht="36">
      <c r="A68" s="878">
        <v>8</v>
      </c>
      <c r="B68" s="3395"/>
      <c r="C68" s="814" t="s">
        <v>629</v>
      </c>
      <c r="D68" s="814" t="s">
        <v>630</v>
      </c>
      <c r="E68" s="891">
        <v>0.2</v>
      </c>
      <c r="F68" s="878">
        <v>30</v>
      </c>
    </row>
    <row r="69" spans="1:6" s="874" customFormat="1" ht="36">
      <c r="A69" s="878">
        <v>9</v>
      </c>
      <c r="B69" s="3395"/>
      <c r="C69" s="814" t="s">
        <v>631</v>
      </c>
      <c r="D69" s="814" t="s">
        <v>632</v>
      </c>
      <c r="E69" s="891">
        <v>0.2</v>
      </c>
      <c r="F69" s="878">
        <v>30</v>
      </c>
    </row>
    <row r="70" spans="1:6" s="874" customFormat="1" ht="48">
      <c r="A70" s="878">
        <v>10</v>
      </c>
      <c r="B70" s="3395"/>
      <c r="C70" s="814" t="s">
        <v>633</v>
      </c>
      <c r="D70" s="814" t="s">
        <v>634</v>
      </c>
      <c r="E70" s="891">
        <v>0.2</v>
      </c>
      <c r="F70" s="878">
        <v>30</v>
      </c>
    </row>
    <row r="71" spans="1:6" s="874" customFormat="1" ht="48">
      <c r="A71" s="878">
        <v>11</v>
      </c>
      <c r="B71" s="3395"/>
      <c r="C71" s="814" t="s">
        <v>635</v>
      </c>
      <c r="D71" s="814" t="s">
        <v>636</v>
      </c>
      <c r="E71" s="891">
        <v>0.2</v>
      </c>
      <c r="F71" s="878">
        <v>30</v>
      </c>
    </row>
    <row r="72" spans="1:6" s="874" customFormat="1" ht="36">
      <c r="A72" s="878">
        <v>12</v>
      </c>
      <c r="B72" s="3395"/>
      <c r="C72" s="814" t="s">
        <v>637</v>
      </c>
      <c r="D72" s="814" t="s">
        <v>638</v>
      </c>
      <c r="E72" s="891">
        <v>0.5</v>
      </c>
      <c r="F72" s="878">
        <v>80</v>
      </c>
    </row>
    <row r="73" spans="1:6" s="874" customFormat="1" ht="24">
      <c r="A73" s="878">
        <v>13</v>
      </c>
      <c r="B73" s="3395"/>
      <c r="C73" s="814" t="s">
        <v>639</v>
      </c>
      <c r="D73" s="814" t="s">
        <v>640</v>
      </c>
      <c r="E73" s="891">
        <v>0.4</v>
      </c>
      <c r="F73" s="878">
        <v>60</v>
      </c>
    </row>
    <row r="74" spans="1:6" s="874" customFormat="1" ht="24">
      <c r="A74" s="878">
        <v>14</v>
      </c>
      <c r="B74" s="3395"/>
      <c r="C74" s="814" t="s">
        <v>641</v>
      </c>
      <c r="D74" s="814" t="s">
        <v>642</v>
      </c>
      <c r="E74" s="891">
        <v>0.2</v>
      </c>
      <c r="F74" s="878">
        <v>30</v>
      </c>
    </row>
    <row r="75" spans="1:6" s="874" customFormat="1" ht="24">
      <c r="A75" s="878">
        <v>15</v>
      </c>
      <c r="B75" s="3395"/>
      <c r="C75" s="814" t="s">
        <v>643</v>
      </c>
      <c r="D75" s="814" t="s">
        <v>644</v>
      </c>
      <c r="E75" s="891">
        <v>0.2</v>
      </c>
      <c r="F75" s="878">
        <v>30</v>
      </c>
    </row>
    <row r="76" spans="1:6" s="874" customFormat="1" ht="24">
      <c r="A76" s="878">
        <v>16</v>
      </c>
      <c r="B76" s="3395" t="s">
        <v>645</v>
      </c>
      <c r="C76" s="814" t="s">
        <v>646</v>
      </c>
      <c r="D76" s="814" t="s">
        <v>647</v>
      </c>
      <c r="E76" s="891">
        <v>0.5</v>
      </c>
      <c r="F76" s="878">
        <v>80</v>
      </c>
    </row>
    <row r="77" spans="1:6" s="874" customFormat="1" ht="24">
      <c r="A77" s="878">
        <v>17</v>
      </c>
      <c r="B77" s="3395"/>
      <c r="C77" s="814" t="s">
        <v>648</v>
      </c>
      <c r="D77" s="814" t="s">
        <v>649</v>
      </c>
      <c r="E77" s="891">
        <v>0.5</v>
      </c>
      <c r="F77" s="878">
        <v>80</v>
      </c>
    </row>
    <row r="78" spans="1:6" s="874" customFormat="1" ht="24">
      <c r="A78" s="878">
        <v>18</v>
      </c>
      <c r="B78" s="3395"/>
      <c r="C78" s="814" t="s">
        <v>650</v>
      </c>
      <c r="D78" s="814" t="s">
        <v>651</v>
      </c>
      <c r="E78" s="891">
        <v>0.2</v>
      </c>
      <c r="F78" s="878">
        <v>30</v>
      </c>
    </row>
    <row r="79" spans="1:6" s="874" customFormat="1" ht="24">
      <c r="A79" s="878">
        <v>19</v>
      </c>
      <c r="B79" s="3395"/>
      <c r="C79" s="814" t="s">
        <v>652</v>
      </c>
      <c r="D79" s="814" t="s">
        <v>653</v>
      </c>
      <c r="E79" s="891">
        <v>0.5</v>
      </c>
      <c r="F79" s="878">
        <v>80</v>
      </c>
    </row>
    <row r="80" spans="1:6" s="874" customFormat="1" ht="36">
      <c r="A80" s="878">
        <v>20</v>
      </c>
      <c r="B80" s="3395"/>
      <c r="C80" s="814" t="s">
        <v>654</v>
      </c>
      <c r="D80" s="814" t="s">
        <v>655</v>
      </c>
      <c r="E80" s="891">
        <v>0.2</v>
      </c>
      <c r="F80" s="878">
        <v>30</v>
      </c>
    </row>
    <row r="81" spans="1:6" s="874" customFormat="1" ht="36">
      <c r="A81" s="878">
        <v>21</v>
      </c>
      <c r="B81" s="3395"/>
      <c r="C81" s="814" t="s">
        <v>656</v>
      </c>
      <c r="D81" s="814" t="s">
        <v>657</v>
      </c>
      <c r="E81" s="891">
        <v>0.2</v>
      </c>
      <c r="F81" s="878">
        <v>30</v>
      </c>
    </row>
    <row r="82" spans="1:6" s="874" customFormat="1" ht="48">
      <c r="A82" s="878">
        <v>22</v>
      </c>
      <c r="B82" s="3395"/>
      <c r="C82" s="814" t="s">
        <v>658</v>
      </c>
      <c r="D82" s="814" t="s">
        <v>659</v>
      </c>
      <c r="E82" s="891">
        <v>0.2</v>
      </c>
      <c r="F82" s="878">
        <v>30</v>
      </c>
    </row>
    <row r="83" spans="1:6" s="874" customFormat="1" ht="48">
      <c r="A83" s="878">
        <v>23</v>
      </c>
      <c r="B83" s="3395"/>
      <c r="C83" s="814" t="s">
        <v>660</v>
      </c>
      <c r="D83" s="814" t="s">
        <v>661</v>
      </c>
      <c r="E83" s="891">
        <v>0.2</v>
      </c>
      <c r="F83" s="878">
        <v>30</v>
      </c>
    </row>
    <row r="84" spans="1:6" s="874" customFormat="1" ht="36">
      <c r="A84" s="878">
        <v>24</v>
      </c>
      <c r="B84" s="3395"/>
      <c r="C84" s="814" t="s">
        <v>662</v>
      </c>
      <c r="D84" s="814" t="s">
        <v>663</v>
      </c>
      <c r="E84" s="891">
        <v>0.2</v>
      </c>
      <c r="F84" s="878">
        <v>30</v>
      </c>
    </row>
    <row r="85" spans="1:6" s="874" customFormat="1" ht="36">
      <c r="A85" s="878">
        <v>25</v>
      </c>
      <c r="B85" s="3395"/>
      <c r="C85" s="814" t="s">
        <v>664</v>
      </c>
      <c r="D85" s="814" t="s">
        <v>665</v>
      </c>
      <c r="E85" s="891">
        <v>0.5</v>
      </c>
      <c r="F85" s="878">
        <v>80</v>
      </c>
    </row>
    <row r="86" spans="1:6" s="874" customFormat="1" ht="36">
      <c r="A86" s="878">
        <v>26</v>
      </c>
      <c r="B86" s="3395"/>
      <c r="C86" s="814" t="s">
        <v>666</v>
      </c>
      <c r="D86" s="814" t="s">
        <v>667</v>
      </c>
      <c r="E86" s="891">
        <v>0.2</v>
      </c>
      <c r="F86" s="878">
        <v>30</v>
      </c>
    </row>
    <row r="87" spans="1:6" s="874" customFormat="1" ht="36">
      <c r="A87" s="878">
        <v>27</v>
      </c>
      <c r="B87" s="3395"/>
      <c r="C87" s="814" t="s">
        <v>668</v>
      </c>
      <c r="D87" s="814" t="s">
        <v>669</v>
      </c>
      <c r="E87" s="891">
        <v>0.2</v>
      </c>
      <c r="F87" s="878">
        <v>30</v>
      </c>
    </row>
    <row r="88" spans="1:6" s="874" customFormat="1" ht="36">
      <c r="A88" s="878">
        <v>28</v>
      </c>
      <c r="B88" s="3395"/>
      <c r="C88" s="814" t="s">
        <v>670</v>
      </c>
      <c r="D88" s="814" t="s">
        <v>671</v>
      </c>
      <c r="E88" s="891">
        <v>0.2</v>
      </c>
      <c r="F88" s="878">
        <v>30</v>
      </c>
    </row>
    <row r="89" spans="1:6" s="874" customFormat="1" ht="24">
      <c r="A89" s="878">
        <v>29</v>
      </c>
      <c r="B89" s="3395"/>
      <c r="C89" s="814" t="s">
        <v>672</v>
      </c>
      <c r="D89" s="814" t="s">
        <v>673</v>
      </c>
      <c r="E89" s="891">
        <v>0.2</v>
      </c>
      <c r="F89" s="878">
        <v>30</v>
      </c>
    </row>
    <row r="90" spans="1:6" s="874" customFormat="1" ht="24">
      <c r="A90" s="878">
        <v>30</v>
      </c>
      <c r="B90" s="3395"/>
      <c r="C90" s="814" t="s">
        <v>674</v>
      </c>
      <c r="D90" s="814" t="s">
        <v>675</v>
      </c>
      <c r="E90" s="891">
        <v>0.2</v>
      </c>
      <c r="F90" s="878">
        <v>30</v>
      </c>
    </row>
    <row r="91" spans="1:6" s="874" customFormat="1" ht="36">
      <c r="A91" s="878">
        <v>31</v>
      </c>
      <c r="B91" s="3395"/>
      <c r="C91" s="814" t="s">
        <v>676</v>
      </c>
      <c r="D91" s="814" t="s">
        <v>677</v>
      </c>
      <c r="E91" s="891">
        <v>0.2</v>
      </c>
      <c r="F91" s="878">
        <v>30</v>
      </c>
    </row>
    <row r="92" spans="1:6" s="874" customFormat="1" ht="24">
      <c r="A92" s="878">
        <v>32</v>
      </c>
      <c r="B92" s="3395" t="s">
        <v>678</v>
      </c>
      <c r="C92" s="878" t="s">
        <v>679</v>
      </c>
      <c r="D92" s="814" t="s">
        <v>680</v>
      </c>
      <c r="E92" s="891">
        <v>0.2</v>
      </c>
      <c r="F92" s="878">
        <v>30</v>
      </c>
    </row>
    <row r="93" spans="1:6" s="874" customFormat="1" ht="36">
      <c r="A93" s="878">
        <v>33</v>
      </c>
      <c r="B93" s="3395"/>
      <c r="C93" s="878" t="s">
        <v>681</v>
      </c>
      <c r="D93" s="814" t="s">
        <v>682</v>
      </c>
      <c r="E93" s="891">
        <v>0.2</v>
      </c>
      <c r="F93" s="878">
        <v>30</v>
      </c>
    </row>
    <row r="94" spans="1:6" s="874" customFormat="1" ht="48">
      <c r="A94" s="878">
        <v>34</v>
      </c>
      <c r="B94" s="3395"/>
      <c r="C94" s="878" t="s">
        <v>683</v>
      </c>
      <c r="D94" s="814" t="s">
        <v>684</v>
      </c>
      <c r="E94" s="891">
        <v>0.2</v>
      </c>
      <c r="F94" s="878">
        <v>30</v>
      </c>
    </row>
    <row r="95" spans="1:6" s="874" customFormat="1" ht="36">
      <c r="A95" s="878">
        <v>35</v>
      </c>
      <c r="B95" s="3395"/>
      <c r="C95" s="878" t="s">
        <v>685</v>
      </c>
      <c r="D95" s="814" t="s">
        <v>686</v>
      </c>
      <c r="E95" s="891">
        <v>0.2</v>
      </c>
      <c r="F95" s="878">
        <v>30</v>
      </c>
    </row>
    <row r="96" spans="1:6" s="874" customFormat="1" ht="48">
      <c r="A96" s="878">
        <v>36</v>
      </c>
      <c r="B96" s="3395"/>
      <c r="C96" s="814" t="s">
        <v>687</v>
      </c>
      <c r="D96" s="814" t="s">
        <v>688</v>
      </c>
      <c r="E96" s="891">
        <v>0.2</v>
      </c>
      <c r="F96" s="878">
        <v>30</v>
      </c>
    </row>
    <row r="97" spans="1:6" s="874" customFormat="1" ht="36">
      <c r="A97" s="878">
        <v>37</v>
      </c>
      <c r="B97" s="3395"/>
      <c r="C97" s="878" t="s">
        <v>689</v>
      </c>
      <c r="D97" s="814" t="s">
        <v>690</v>
      </c>
      <c r="E97" s="891">
        <v>0.2</v>
      </c>
      <c r="F97" s="878">
        <v>30</v>
      </c>
    </row>
    <row r="98" spans="1:6" s="874" customFormat="1" ht="36">
      <c r="A98" s="878">
        <v>38</v>
      </c>
      <c r="B98" s="3395"/>
      <c r="C98" s="878" t="s">
        <v>691</v>
      </c>
      <c r="D98" s="814" t="s">
        <v>692</v>
      </c>
      <c r="E98" s="891">
        <v>0.2</v>
      </c>
      <c r="F98" s="878">
        <v>30</v>
      </c>
    </row>
    <row r="99" spans="1:6" s="874" customFormat="1" ht="36">
      <c r="A99" s="878">
        <v>39</v>
      </c>
      <c r="B99" s="3395" t="s">
        <v>693</v>
      </c>
      <c r="C99" s="878" t="s">
        <v>694</v>
      </c>
      <c r="D99" s="814" t="s">
        <v>695</v>
      </c>
      <c r="E99" s="891">
        <v>0.3</v>
      </c>
      <c r="F99" s="878">
        <v>50</v>
      </c>
    </row>
    <row r="100" spans="1:6" s="874" customFormat="1" ht="24">
      <c r="A100" s="878">
        <v>40</v>
      </c>
      <c r="B100" s="3395"/>
      <c r="C100" s="878" t="s">
        <v>696</v>
      </c>
      <c r="D100" s="814" t="s">
        <v>697</v>
      </c>
      <c r="E100" s="891">
        <v>0.2</v>
      </c>
      <c r="F100" s="878">
        <v>30</v>
      </c>
    </row>
    <row r="101" spans="1:6" s="874" customFormat="1" ht="36">
      <c r="A101" s="878">
        <v>41</v>
      </c>
      <c r="B101" s="339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95" t="s">
        <v>708</v>
      </c>
      <c r="C105" s="878" t="s">
        <v>709</v>
      </c>
      <c r="D105" s="814" t="s">
        <v>710</v>
      </c>
      <c r="E105" s="891">
        <v>0.2</v>
      </c>
      <c r="F105" s="878">
        <v>30</v>
      </c>
    </row>
    <row r="106" spans="1:6" s="874" customFormat="1" ht="36">
      <c r="A106" s="878">
        <v>46</v>
      </c>
      <c r="B106" s="3395"/>
      <c r="C106" s="878" t="s">
        <v>711</v>
      </c>
      <c r="D106" s="814" t="s">
        <v>712</v>
      </c>
      <c r="E106" s="891">
        <v>0.2</v>
      </c>
      <c r="F106" s="878">
        <v>30</v>
      </c>
    </row>
    <row r="107" spans="1:6" s="874" customFormat="1" ht="36">
      <c r="A107" s="878">
        <v>47</v>
      </c>
      <c r="B107" s="3395" t="s">
        <v>713</v>
      </c>
      <c r="C107" s="878" t="s">
        <v>714</v>
      </c>
      <c r="D107" s="814" t="s">
        <v>715</v>
      </c>
      <c r="E107" s="891">
        <v>0.3</v>
      </c>
      <c r="F107" s="878">
        <v>50</v>
      </c>
    </row>
    <row r="108" spans="1:6" s="874" customFormat="1" ht="36">
      <c r="A108" s="878">
        <v>48</v>
      </c>
      <c r="B108" s="33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95" t="s">
        <v>724</v>
      </c>
      <c r="C111" s="878" t="s">
        <v>725</v>
      </c>
      <c r="D111" s="814" t="s">
        <v>726</v>
      </c>
      <c r="E111" s="891">
        <v>0.2</v>
      </c>
      <c r="F111" s="878">
        <v>30</v>
      </c>
    </row>
    <row r="112" spans="1:6" s="874" customFormat="1" ht="24">
      <c r="A112" s="878">
        <v>52</v>
      </c>
      <c r="B112" s="3395"/>
      <c r="C112" s="878" t="s">
        <v>727</v>
      </c>
      <c r="D112" s="814" t="s">
        <v>728</v>
      </c>
      <c r="E112" s="891">
        <v>0.2</v>
      </c>
      <c r="F112" s="878">
        <v>30</v>
      </c>
    </row>
    <row r="113" spans="1:6" s="874" customFormat="1" ht="24">
      <c r="A113" s="878">
        <v>53</v>
      </c>
      <c r="B113" s="339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95" t="s">
        <v>737</v>
      </c>
      <c r="C116" s="878" t="s">
        <v>738</v>
      </c>
      <c r="D116" s="814" t="s">
        <v>739</v>
      </c>
      <c r="E116" s="891">
        <v>0.2</v>
      </c>
      <c r="F116" s="878">
        <v>30</v>
      </c>
    </row>
    <row r="117" spans="1:6" ht="36">
      <c r="A117" s="878">
        <v>57</v>
      </c>
      <c r="B117" s="339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SUMPRODUCT((A105:A204=ROUNDDOWN('基准地价修正-办公、车库'!G3,1))*(B104:M104='基准地价修正-办公、车库'!G2)*(B105:M204))</f>
        <v>0.73070000000000002</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2954</v>
      </c>
    </row>
    <row r="2" spans="1:5" ht="15.75">
      <c r="A2" s="2898" t="s">
        <v>2946</v>
      </c>
      <c r="B2" s="2899">
        <f ca="1">SUMIF(B6:B13,"&lt;&gt;#ref!",B6:B13)</f>
        <v>0</v>
      </c>
      <c r="C2" s="2898" t="s">
        <v>2947</v>
      </c>
      <c r="D2" s="2898" t="s">
        <v>2948</v>
      </c>
      <c r="E2" s="2899">
        <f ca="1">SUMIF(E6:E13,"&lt;&gt;#ref!",E6:E13)</f>
        <v>0</v>
      </c>
    </row>
    <row r="3" spans="1:5" ht="15.75">
      <c r="A3" s="2898" t="s">
        <v>2949</v>
      </c>
      <c r="B3" s="2899" t="e">
        <f ca="1">ROUND(B2*10000/E2,0)</f>
        <v>#DIV/0!</v>
      </c>
      <c r="C3" s="2898" t="s">
        <v>2955</v>
      </c>
      <c r="D3" s="2900"/>
      <c r="E3" s="2900"/>
    </row>
    <row r="4" spans="1:5" ht="15.75">
      <c r="A4" s="2901"/>
      <c r="B4" s="2900"/>
      <c r="C4" s="2900"/>
      <c r="D4" s="2900"/>
      <c r="E4" s="2900"/>
    </row>
    <row r="5" spans="1:5" ht="28.5">
      <c r="A5" s="2902" t="s">
        <v>2950</v>
      </c>
      <c r="B5" s="2898" t="s">
        <v>2951</v>
      </c>
      <c r="C5" s="2899"/>
      <c r="D5" s="2900"/>
      <c r="E5" s="2898" t="s">
        <v>2952</v>
      </c>
    </row>
    <row r="6" spans="1:5" ht="15.75">
      <c r="A6" s="2903" t="s">
        <v>2953</v>
      </c>
      <c r="B6" s="2899" t="e">
        <f ca="1">SUMIF(INDIRECT("'"&amp;A6&amp;"'"&amp;"!A:A"),"总价",INDIRECT("'"&amp;A6&amp;"'"&amp;"!B:B"))</f>
        <v>#REF!</v>
      </c>
      <c r="C6" s="2898" t="s">
        <v>2947</v>
      </c>
      <c r="D6" s="2900"/>
      <c r="E6" s="2571" t="e">
        <f ca="1">SUMIF(INDIRECT("'"&amp;A6&amp;"'"&amp;"!C:C"),"建筑面积",INDIRECT("'"&amp;A6&amp;"'"&amp;"!D:D"))</f>
        <v>#REF!</v>
      </c>
    </row>
    <row r="7" spans="1:5" ht="15.75">
      <c r="A7" s="2903"/>
      <c r="B7" s="2899" t="e">
        <f ca="1">SUMIF(INDIRECT("'"&amp;A7&amp;"'"&amp;"!A:A"),"总价",INDIRECT("'"&amp;A7&amp;"'"&amp;"!B:B"))</f>
        <v>#REF!</v>
      </c>
      <c r="C7" s="2898" t="s">
        <v>2947</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2947</v>
      </c>
      <c r="D8" s="2900"/>
      <c r="E8" s="2571" t="e">
        <f t="shared" ca="1" si="0"/>
        <v>#REF!</v>
      </c>
    </row>
    <row r="9" spans="1:5" ht="15.75">
      <c r="A9" s="2903"/>
      <c r="B9" s="2899" t="e">
        <f t="shared" ca="1" si="1"/>
        <v>#REF!</v>
      </c>
      <c r="C9" s="2898" t="s">
        <v>2947</v>
      </c>
      <c r="D9" s="2900"/>
      <c r="E9" s="2571" t="e">
        <f t="shared" ca="1" si="0"/>
        <v>#REF!</v>
      </c>
    </row>
    <row r="10" spans="1:5" ht="15.75">
      <c r="A10" s="2903"/>
      <c r="B10" s="2899" t="e">
        <f t="shared" ca="1" si="1"/>
        <v>#REF!</v>
      </c>
      <c r="C10" s="2898" t="s">
        <v>2947</v>
      </c>
      <c r="D10" s="2900"/>
      <c r="E10" s="2571" t="e">
        <f t="shared" ca="1" si="0"/>
        <v>#REF!</v>
      </c>
    </row>
    <row r="11" spans="1:5" ht="15.75">
      <c r="A11" s="2903"/>
      <c r="B11" s="2899" t="e">
        <f t="shared" ca="1" si="1"/>
        <v>#REF!</v>
      </c>
      <c r="C11" s="2898" t="s">
        <v>2947</v>
      </c>
      <c r="D11" s="2900"/>
      <c r="E11" s="2571" t="e">
        <f t="shared" ca="1" si="0"/>
        <v>#REF!</v>
      </c>
    </row>
    <row r="12" spans="1:5" ht="15.75">
      <c r="A12" s="2903"/>
      <c r="B12" s="2899" t="e">
        <f t="shared" ca="1" si="1"/>
        <v>#REF!</v>
      </c>
      <c r="C12" s="2898" t="s">
        <v>2947</v>
      </c>
      <c r="D12" s="2900"/>
      <c r="E12" s="2571" t="e">
        <f t="shared" ca="1" si="0"/>
        <v>#REF!</v>
      </c>
    </row>
    <row r="13" spans="1:5" ht="15.75">
      <c r="A13" s="2903"/>
      <c r="B13" s="2899" t="e">
        <f t="shared" ca="1" si="1"/>
        <v>#REF!</v>
      </c>
      <c r="C13" s="2898" t="s">
        <v>2947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8" sqref="F8"/>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01" t="s">
        <v>1142</v>
      </c>
      <c r="C1" s="3401"/>
      <c r="D1" s="3401"/>
      <c r="E1" s="3401"/>
      <c r="F1" s="3401"/>
      <c r="G1" s="3397" t="s">
        <v>1143</v>
      </c>
      <c r="H1" s="3397"/>
      <c r="I1" s="3397"/>
      <c r="J1" s="3397"/>
      <c r="K1" s="3397"/>
      <c r="L1" s="3397"/>
      <c r="N1" s="3397" t="s">
        <v>1144</v>
      </c>
      <c r="O1" s="3397"/>
      <c r="P1" s="3397"/>
      <c r="Q1" s="3397"/>
      <c r="R1" s="1441"/>
      <c r="S1" s="3397" t="s">
        <v>1145</v>
      </c>
      <c r="T1" s="3397"/>
      <c r="U1" s="3397"/>
      <c r="V1" s="3397"/>
      <c r="X1" s="3396" t="s">
        <v>1146</v>
      </c>
      <c r="Y1" s="3397"/>
      <c r="Z1" s="3397"/>
      <c r="AA1" s="3397"/>
      <c r="AB1" s="3397"/>
      <c r="AD1" s="3396" t="s">
        <v>1147</v>
      </c>
      <c r="AE1" s="3397"/>
      <c r="AF1" s="3397"/>
      <c r="AG1" s="3397"/>
      <c r="AH1" s="3397"/>
    </row>
    <row r="2" spans="1:34" s="1442" customFormat="1" ht="14.2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4" customFormat="1" ht="14.25">
      <c r="A3" s="2923" t="s">
        <v>2987</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3005</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7">
        <v>2019</v>
      </c>
      <c r="H5" s="1725">
        <v>4</v>
      </c>
      <c r="I5" s="2910">
        <v>0</v>
      </c>
      <c r="J5" s="2910">
        <v>0</v>
      </c>
      <c r="K5" s="2910">
        <v>0</v>
      </c>
      <c r="L5" s="2910">
        <v>0</v>
      </c>
      <c r="N5" s="1462">
        <f t="shared" ref="N5:N10" si="7">I5/100</f>
        <v>0</v>
      </c>
      <c r="O5" s="1462">
        <f t="shared" ref="O5" si="8">J5/100</f>
        <v>0</v>
      </c>
      <c r="P5" s="1462">
        <f t="shared" ref="P5" si="9">K5/100</f>
        <v>0</v>
      </c>
      <c r="Q5" s="1462">
        <f t="shared" ref="Q5" si="10">L5/100</f>
        <v>0</v>
      </c>
      <c r="R5" s="1727"/>
      <c r="S5" s="1728"/>
      <c r="T5" s="1727"/>
      <c r="U5" s="1727"/>
      <c r="V5" s="1727"/>
      <c r="W5" s="2913" t="s">
        <v>2988</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5" thickBot="1">
      <c r="A6" s="1456" t="s">
        <v>3004</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7">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3002</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43">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5" thickBot="1">
      <c r="A8" s="1456" t="s">
        <v>3000</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7">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3003</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399">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5" customHeight="1">
      <c r="A10" s="1456" t="s">
        <v>2994</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399"/>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5" customHeight="1">
      <c r="A11" s="1456" t="s">
        <v>2993</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399"/>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2986</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406"/>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2983</v>
      </c>
      <c r="B13" s="1464">
        <v>439</v>
      </c>
      <c r="C13" s="1464">
        <v>327</v>
      </c>
      <c r="D13" s="1464">
        <f>C13</f>
        <v>327</v>
      </c>
      <c r="E13" s="1464">
        <v>627</v>
      </c>
      <c r="F13" s="1465">
        <v>283</v>
      </c>
      <c r="G13" s="3402">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2984</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399"/>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1377</v>
      </c>
      <c r="B15" s="1472">
        <f t="shared" si="94"/>
        <v>419.31181600000002</v>
      </c>
      <c r="C15" s="1472">
        <f t="shared" si="95"/>
        <v>313.95436800000004</v>
      </c>
      <c r="D15" s="1472">
        <f t="shared" si="96"/>
        <v>313.95436800000004</v>
      </c>
      <c r="E15" s="1472">
        <f t="shared" si="97"/>
        <v>596.63028431999999</v>
      </c>
      <c r="F15" s="1472">
        <f t="shared" si="98"/>
        <v>274.74220703999998</v>
      </c>
      <c r="G15" s="3399"/>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406"/>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402">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399"/>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399"/>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400"/>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8"/>
        <v>277</v>
      </c>
      <c r="E21" s="1464">
        <v>459</v>
      </c>
      <c r="F21" s="1465">
        <v>249</v>
      </c>
      <c r="G21" s="3398">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399"/>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399"/>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400"/>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8"/>
        <v>268</v>
      </c>
      <c r="E25" s="1485">
        <v>437</v>
      </c>
      <c r="F25" s="1486">
        <v>237</v>
      </c>
      <c r="G25" s="3398">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399"/>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399"/>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5"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400"/>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1155</v>
      </c>
      <c r="B29" s="1464">
        <v>299</v>
      </c>
      <c r="C29" s="1464">
        <v>252</v>
      </c>
      <c r="D29" s="1464">
        <f t="shared" si="108"/>
        <v>252</v>
      </c>
      <c r="E29" s="1464">
        <v>409</v>
      </c>
      <c r="F29" s="1465">
        <v>227</v>
      </c>
      <c r="G29" s="3403">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1156</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404"/>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1157</v>
      </c>
      <c r="B31" s="1472">
        <f t="shared" si="117"/>
        <v>288.2649053828776</v>
      </c>
      <c r="C31" s="1472">
        <f t="shared" si="117"/>
        <v>243.64564425013293</v>
      </c>
      <c r="D31" s="1472">
        <f t="shared" si="108"/>
        <v>243.64564425013293</v>
      </c>
      <c r="E31" s="1472">
        <f t="shared" si="118"/>
        <v>393.31080825986544</v>
      </c>
      <c r="F31" s="1472">
        <f t="shared" si="118"/>
        <v>223.07903790551154</v>
      </c>
      <c r="G31" s="3404"/>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1158</v>
      </c>
      <c r="B32" s="1472">
        <f t="shared" si="117"/>
        <v>282.50186729015837</v>
      </c>
      <c r="C32" s="1472">
        <f t="shared" si="117"/>
        <v>238.09796174155468</v>
      </c>
      <c r="D32" s="1472">
        <f t="shared" si="108"/>
        <v>238.09796174155468</v>
      </c>
      <c r="E32" s="1472">
        <f t="shared" si="118"/>
        <v>385.33438646014054</v>
      </c>
      <c r="F32" s="1472">
        <f t="shared" si="118"/>
        <v>221.55034055567739</v>
      </c>
      <c r="G32" s="3405"/>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1159</v>
      </c>
      <c r="B33" s="1506">
        <v>278</v>
      </c>
      <c r="C33" s="1506">
        <v>234</v>
      </c>
      <c r="D33" s="1506">
        <f t="shared" si="108"/>
        <v>234</v>
      </c>
      <c r="E33" s="1506">
        <v>379</v>
      </c>
      <c r="F33" s="1507">
        <v>220</v>
      </c>
      <c r="G33" s="3398">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8"/>
        <v>232.41954707985698</v>
      </c>
      <c r="E34" s="1472">
        <f t="shared" ref="E34:F36" si="119">E33/(1+P33)</f>
        <v>375.32184591008121</v>
      </c>
      <c r="F34" s="1472">
        <f t="shared" si="119"/>
        <v>218.03766105054513</v>
      </c>
      <c r="G34" s="3399"/>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1161</v>
      </c>
      <c r="B35" s="1472">
        <f>B34/(1+N34)</f>
        <v>275.24529281292263</v>
      </c>
      <c r="C35" s="1472">
        <f>C34/(1+O34)</f>
        <v>231.74747938962707</v>
      </c>
      <c r="D35" s="1472">
        <f t="shared" si="108"/>
        <v>231.74747938962707</v>
      </c>
      <c r="E35" s="1472">
        <f t="shared" si="119"/>
        <v>375.35938184826603</v>
      </c>
      <c r="F35" s="1472">
        <f t="shared" si="119"/>
        <v>216.78033510692495</v>
      </c>
      <c r="G35" s="3399"/>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5" thickBot="1">
      <c r="A36" s="1456" t="s">
        <v>1162</v>
      </c>
      <c r="B36" s="1472">
        <f>B35/(1+N35)</f>
        <v>275.19025476197027</v>
      </c>
      <c r="C36" s="1508">
        <v>232</v>
      </c>
      <c r="D36" s="1508">
        <f t="shared" si="108"/>
        <v>232</v>
      </c>
      <c r="E36" s="1472">
        <f t="shared" si="119"/>
        <v>375.65990977608692</v>
      </c>
      <c r="F36" s="1472">
        <f t="shared" si="119"/>
        <v>214.12518283971252</v>
      </c>
      <c r="G36" s="3400"/>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1163</v>
      </c>
      <c r="B37" s="1464">
        <v>275</v>
      </c>
      <c r="C37" s="1464">
        <v>232</v>
      </c>
      <c r="D37" s="1464">
        <f t="shared" si="108"/>
        <v>232</v>
      </c>
      <c r="E37" s="1464">
        <v>376</v>
      </c>
      <c r="F37" s="1465">
        <v>213</v>
      </c>
      <c r="G37" s="3398">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1164</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399">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1165</v>
      </c>
      <c r="B39" s="1472">
        <f t="shared" si="120"/>
        <v>275.19335084830601</v>
      </c>
      <c r="C39" s="1472">
        <f t="shared" si="120"/>
        <v>230.18088050139744</v>
      </c>
      <c r="D39" s="1472">
        <f t="shared" si="108"/>
        <v>230.18088050139744</v>
      </c>
      <c r="E39" s="1472">
        <f t="shared" si="121"/>
        <v>377.58482925212331</v>
      </c>
      <c r="F39" s="1472">
        <f t="shared" si="121"/>
        <v>210.90687997847917</v>
      </c>
      <c r="G39" s="3399">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5" thickBot="1">
      <c r="A40" s="1456" t="s">
        <v>1166</v>
      </c>
      <c r="B40" s="1472">
        <f t="shared" si="120"/>
        <v>276.29854502841971</v>
      </c>
      <c r="C40" s="1472">
        <f t="shared" si="120"/>
        <v>229.79023709833027</v>
      </c>
      <c r="D40" s="1472">
        <f t="shared" si="108"/>
        <v>229.79023709833027</v>
      </c>
      <c r="E40" s="1472">
        <f t="shared" si="121"/>
        <v>379.78759731655936</v>
      </c>
      <c r="F40" s="1472">
        <f t="shared" si="121"/>
        <v>211.32953905659235</v>
      </c>
      <c r="G40" s="3400">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1167</v>
      </c>
      <c r="B41" s="1464">
        <v>269</v>
      </c>
      <c r="C41" s="1464">
        <v>221</v>
      </c>
      <c r="D41" s="1464">
        <f t="shared" si="108"/>
        <v>221</v>
      </c>
      <c r="E41" s="1464">
        <v>373</v>
      </c>
      <c r="F41" s="1465">
        <v>196</v>
      </c>
      <c r="G41" s="3398">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1168</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399">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1169</v>
      </c>
      <c r="B43" s="1472">
        <f t="shared" si="122"/>
        <v>242.95398227588385</v>
      </c>
      <c r="C43" s="1472">
        <f t="shared" si="122"/>
        <v>199.59137053614126</v>
      </c>
      <c r="D43" s="1472">
        <f t="shared" si="108"/>
        <v>199.59137053614126</v>
      </c>
      <c r="E43" s="1472">
        <f t="shared" si="123"/>
        <v>335.92189522342125</v>
      </c>
      <c r="F43" s="1472">
        <f t="shared" si="123"/>
        <v>183.10139991109489</v>
      </c>
      <c r="G43" s="3399">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5" thickBot="1">
      <c r="A44" s="1456" t="s">
        <v>1170</v>
      </c>
      <c r="B44" s="1472">
        <f t="shared" si="122"/>
        <v>232.06990378821649</v>
      </c>
      <c r="C44" s="1472">
        <f t="shared" si="122"/>
        <v>192.74878854286936</v>
      </c>
      <c r="D44" s="1472">
        <f t="shared" si="108"/>
        <v>192.74878854286936</v>
      </c>
      <c r="E44" s="1472">
        <f t="shared" si="123"/>
        <v>319.71247284992984</v>
      </c>
      <c r="F44" s="1472">
        <f t="shared" si="123"/>
        <v>175.67053622862409</v>
      </c>
      <c r="G44" s="3400">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1171</v>
      </c>
      <c r="B45" s="1464">
        <v>220</v>
      </c>
      <c r="C45" s="1464">
        <v>187</v>
      </c>
      <c r="D45" s="1464">
        <f t="shared" si="108"/>
        <v>187</v>
      </c>
      <c r="E45" s="1464">
        <v>301</v>
      </c>
      <c r="F45" s="1465">
        <v>168</v>
      </c>
      <c r="G45" s="3398">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1172</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399">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1173</v>
      </c>
      <c r="B47" s="1472">
        <f t="shared" si="124"/>
        <v>210.630522469011</v>
      </c>
      <c r="C47" s="1472">
        <f t="shared" si="124"/>
        <v>181.69567812247232</v>
      </c>
      <c r="D47" s="1472">
        <f t="shared" si="108"/>
        <v>181.69567812247232</v>
      </c>
      <c r="E47" s="1472">
        <f t="shared" si="125"/>
        <v>286.13517466736738</v>
      </c>
      <c r="F47" s="1472">
        <f t="shared" si="125"/>
        <v>165.47535084591149</v>
      </c>
      <c r="G47" s="3399">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1174</v>
      </c>
      <c r="B48" s="1472">
        <f t="shared" si="124"/>
        <v>208.83454537875372</v>
      </c>
      <c r="C48" s="1472">
        <f t="shared" si="124"/>
        <v>183.77230517090351</v>
      </c>
      <c r="D48" s="1472">
        <f t="shared" si="108"/>
        <v>183.77230517090351</v>
      </c>
      <c r="E48" s="1472">
        <f t="shared" si="125"/>
        <v>281.10342338870947</v>
      </c>
      <c r="F48" s="1472">
        <f t="shared" si="125"/>
        <v>168.97309388942256</v>
      </c>
      <c r="G48" s="3400">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1175</v>
      </c>
      <c r="B49" s="1506">
        <v>214</v>
      </c>
      <c r="C49" s="1506">
        <v>188</v>
      </c>
      <c r="D49" s="1506">
        <f t="shared" si="108"/>
        <v>188</v>
      </c>
      <c r="E49" s="1506">
        <v>289</v>
      </c>
      <c r="F49" s="1507">
        <v>166</v>
      </c>
      <c r="G49" s="3398">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1176</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399">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1177</v>
      </c>
      <c r="B51" s="1472">
        <f t="shared" si="126"/>
        <v>206.31694671589116</v>
      </c>
      <c r="C51" s="1472">
        <f t="shared" si="126"/>
        <v>183.61041121036101</v>
      </c>
      <c r="D51" s="1472">
        <f t="shared" si="108"/>
        <v>183.61041121036101</v>
      </c>
      <c r="E51" s="1472">
        <f t="shared" si="127"/>
        <v>276.66850301795557</v>
      </c>
      <c r="F51" s="1472">
        <f t="shared" si="127"/>
        <v>165.1360938278614</v>
      </c>
      <c r="G51" s="3399">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5" thickBot="1">
      <c r="A52" s="1456" t="s">
        <v>1178</v>
      </c>
      <c r="B52" s="1509">
        <f t="shared" si="126"/>
        <v>196.62341248059772</v>
      </c>
      <c r="C52" s="1509">
        <f t="shared" si="126"/>
        <v>170.99125648199012</v>
      </c>
      <c r="D52" s="1509">
        <f t="shared" si="108"/>
        <v>170.99125648199012</v>
      </c>
      <c r="E52" s="1509">
        <f t="shared" si="127"/>
        <v>266.07857570490052</v>
      </c>
      <c r="F52" s="1509">
        <f t="shared" si="127"/>
        <v>154.53499328828505</v>
      </c>
      <c r="G52" s="3400">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1179</v>
      </c>
      <c r="B53" s="1464">
        <v>188</v>
      </c>
      <c r="C53" s="1464">
        <v>165</v>
      </c>
      <c r="D53" s="1464">
        <f t="shared" si="108"/>
        <v>165</v>
      </c>
      <c r="E53" s="1464">
        <v>254</v>
      </c>
      <c r="F53" s="1465">
        <v>148</v>
      </c>
      <c r="G53" s="3398">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1180</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399">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1181</v>
      </c>
      <c r="B55" s="1472">
        <f t="shared" si="130"/>
        <v>168.82017748715555</v>
      </c>
      <c r="C55" s="1472">
        <f t="shared" si="130"/>
        <v>148.06267029972753</v>
      </c>
      <c r="D55" s="1472">
        <f t="shared" si="108"/>
        <v>148.06267029972753</v>
      </c>
      <c r="E55" s="1472">
        <f t="shared" si="131"/>
        <v>216.46288379323747</v>
      </c>
      <c r="F55" s="1472">
        <f t="shared" si="131"/>
        <v>134.23529411764704</v>
      </c>
      <c r="G55" s="3399">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1182</v>
      </c>
      <c r="B56" s="1472">
        <f t="shared" si="130"/>
        <v>163.84913591779542</v>
      </c>
      <c r="C56" s="1472">
        <f t="shared" si="130"/>
        <v>145.0283378746594</v>
      </c>
      <c r="D56" s="1472">
        <f t="shared" si="108"/>
        <v>145.0283378746594</v>
      </c>
      <c r="E56" s="1472">
        <f t="shared" si="131"/>
        <v>204.95180722891567</v>
      </c>
      <c r="F56" s="1472">
        <f t="shared" si="131"/>
        <v>125.95920303605313</v>
      </c>
      <c r="G56" s="3400">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1183</v>
      </c>
      <c r="B57" s="1485">
        <v>159</v>
      </c>
      <c r="C57" s="1485">
        <v>141</v>
      </c>
      <c r="D57" s="1485">
        <f t="shared" si="108"/>
        <v>141</v>
      </c>
      <c r="E57" s="1485">
        <v>195</v>
      </c>
      <c r="F57" s="1486">
        <v>122</v>
      </c>
      <c r="G57" s="3398">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1184</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399">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1185</v>
      </c>
      <c r="B59" s="1472">
        <f t="shared" si="134"/>
        <v>146.57412060301507</v>
      </c>
      <c r="C59" s="1472">
        <f t="shared" si="134"/>
        <v>136.46831955922866</v>
      </c>
      <c r="D59" s="1472">
        <f t="shared" si="108"/>
        <v>136.46831955922866</v>
      </c>
      <c r="E59" s="1472">
        <f t="shared" si="135"/>
        <v>166.73864894795128</v>
      </c>
      <c r="F59" s="1472">
        <f t="shared" si="135"/>
        <v>115.05882352941177</v>
      </c>
      <c r="G59" s="3399">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1186</v>
      </c>
      <c r="B60" s="1472">
        <f t="shared" si="134"/>
        <v>144.04145728643215</v>
      </c>
      <c r="C60" s="1472">
        <f t="shared" si="134"/>
        <v>136.12396694214877</v>
      </c>
      <c r="D60" s="1472">
        <f t="shared" si="108"/>
        <v>136.12396694214877</v>
      </c>
      <c r="E60" s="1472">
        <f t="shared" si="135"/>
        <v>158.32225913621264</v>
      </c>
      <c r="F60" s="1472">
        <f t="shared" si="135"/>
        <v>114.04278074866311</v>
      </c>
      <c r="G60" s="3400">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1187</v>
      </c>
      <c r="B61" s="1485">
        <v>138</v>
      </c>
      <c r="C61" s="1485">
        <v>131</v>
      </c>
      <c r="D61" s="1485">
        <f t="shared" si="108"/>
        <v>131</v>
      </c>
      <c r="E61" s="1485">
        <v>155</v>
      </c>
      <c r="F61" s="1486">
        <v>114</v>
      </c>
      <c r="G61" s="3398">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1188</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399">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1189</v>
      </c>
      <c r="B63" s="1472">
        <f t="shared" si="138"/>
        <v>124.29032258064517</v>
      </c>
      <c r="C63" s="1472">
        <f t="shared" si="138"/>
        <v>123.8968609865471</v>
      </c>
      <c r="D63" s="1472">
        <f t="shared" si="108"/>
        <v>123.8968609865471</v>
      </c>
      <c r="E63" s="1472">
        <f t="shared" si="139"/>
        <v>138.00507614213197</v>
      </c>
      <c r="F63" s="1472">
        <f t="shared" si="139"/>
        <v>107.96106557377048</v>
      </c>
      <c r="G63" s="3399">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1190</v>
      </c>
      <c r="B64" s="1472">
        <f t="shared" si="138"/>
        <v>122.57204301075269</v>
      </c>
      <c r="C64" s="1472">
        <f t="shared" si="138"/>
        <v>123.4932735426009</v>
      </c>
      <c r="D64" s="1472">
        <f t="shared" si="108"/>
        <v>123.4932735426009</v>
      </c>
      <c r="E64" s="1472">
        <f t="shared" si="139"/>
        <v>129.82233502538071</v>
      </c>
      <c r="F64" s="1472">
        <f t="shared" si="139"/>
        <v>107.39446721311475</v>
      </c>
      <c r="G64" s="3400">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1191</v>
      </c>
      <c r="B65" s="1506">
        <v>121</v>
      </c>
      <c r="C65" s="1506">
        <v>122</v>
      </c>
      <c r="D65" s="1506">
        <f t="shared" si="108"/>
        <v>122</v>
      </c>
      <c r="E65" s="1506">
        <v>124</v>
      </c>
      <c r="F65" s="1507">
        <v>107</v>
      </c>
      <c r="G65" s="3398">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1192</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399">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1193</v>
      </c>
      <c r="B67" s="1472">
        <f t="shared" si="142"/>
        <v>116.99099099099099</v>
      </c>
      <c r="C67" s="1472">
        <f t="shared" si="142"/>
        <v>118.84848484848486</v>
      </c>
      <c r="D67" s="1472">
        <f t="shared" si="108"/>
        <v>118.84848484848486</v>
      </c>
      <c r="E67" s="1472">
        <f t="shared" si="143"/>
        <v>117.60960960960961</v>
      </c>
      <c r="F67" s="1472">
        <f t="shared" si="143"/>
        <v>104</v>
      </c>
      <c r="G67" s="3399">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5" thickBot="1">
      <c r="A68" s="1456" t="s">
        <v>1194</v>
      </c>
      <c r="B68" s="1509">
        <f t="shared" si="142"/>
        <v>112.48648648648648</v>
      </c>
      <c r="C68" s="1509">
        <f t="shared" si="142"/>
        <v>115.21212121212122</v>
      </c>
      <c r="D68" s="1509">
        <f t="shared" si="108"/>
        <v>115.21212121212122</v>
      </c>
      <c r="E68" s="1509">
        <f t="shared" si="143"/>
        <v>110.4024024024024</v>
      </c>
      <c r="F68" s="1509">
        <f t="shared" si="143"/>
        <v>104</v>
      </c>
      <c r="G68" s="3400">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1195</v>
      </c>
      <c r="B69" s="1527">
        <v>111</v>
      </c>
      <c r="C69" s="1527">
        <v>114</v>
      </c>
      <c r="D69" s="1527">
        <f t="shared" si="108"/>
        <v>114</v>
      </c>
      <c r="E69" s="1527">
        <v>108</v>
      </c>
      <c r="F69" s="1528">
        <v>104</v>
      </c>
      <c r="G69" s="3398">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44">B71+(B$69-B$73)/4</f>
        <v>109.75</v>
      </c>
      <c r="C70" s="1531">
        <f t="shared" si="144"/>
        <v>112.25</v>
      </c>
      <c r="D70" s="1531">
        <f t="shared" si="108"/>
        <v>112.25</v>
      </c>
      <c r="E70" s="1531">
        <f t="shared" ref="E70:F72" si="145">E71+(E$69-E$73)/4</f>
        <v>107.25</v>
      </c>
      <c r="F70" s="1531">
        <f t="shared" si="145"/>
        <v>103.5</v>
      </c>
      <c r="G70" s="3399">
        <v>2003</v>
      </c>
      <c r="H70" s="1482">
        <v>3</v>
      </c>
      <c r="I70" s="1529"/>
      <c r="J70" s="1529"/>
      <c r="K70" s="1529"/>
      <c r="L70" s="1529"/>
      <c r="X70" s="1521"/>
      <c r="Y70" s="1521"/>
      <c r="Z70" s="1521"/>
    </row>
    <row r="71" spans="1:26">
      <c r="A71" s="1456" t="s">
        <v>1197</v>
      </c>
      <c r="B71" s="1531">
        <f t="shared" si="144"/>
        <v>108.5</v>
      </c>
      <c r="C71" s="1531">
        <f t="shared" si="144"/>
        <v>110.5</v>
      </c>
      <c r="D71" s="1531">
        <f t="shared" si="108"/>
        <v>110.5</v>
      </c>
      <c r="E71" s="1531">
        <f t="shared" si="145"/>
        <v>106.5</v>
      </c>
      <c r="F71" s="1531">
        <f t="shared" si="145"/>
        <v>103</v>
      </c>
      <c r="G71" s="3399">
        <v>2003</v>
      </c>
      <c r="H71" s="1460">
        <v>2</v>
      </c>
      <c r="I71" s="1529"/>
      <c r="J71" s="1529"/>
      <c r="K71" s="1529"/>
      <c r="L71" s="1529"/>
      <c r="X71" s="1521"/>
      <c r="Y71" s="1521"/>
      <c r="Z71" s="1521"/>
    </row>
    <row r="72" spans="1:26" ht="13.5" thickBot="1">
      <c r="A72" s="1456" t="s">
        <v>1198</v>
      </c>
      <c r="B72" s="1531">
        <f t="shared" si="144"/>
        <v>107.25</v>
      </c>
      <c r="C72" s="1531">
        <f t="shared" si="144"/>
        <v>108.75</v>
      </c>
      <c r="D72" s="1531">
        <f t="shared" si="108"/>
        <v>108.75</v>
      </c>
      <c r="E72" s="1531">
        <f t="shared" si="145"/>
        <v>105.75</v>
      </c>
      <c r="F72" s="1531">
        <f t="shared" si="145"/>
        <v>102.5</v>
      </c>
      <c r="G72" s="3400">
        <v>2003</v>
      </c>
      <c r="H72" s="1532">
        <v>1</v>
      </c>
      <c r="I72" s="1529"/>
      <c r="J72" s="1529"/>
      <c r="K72" s="1529"/>
      <c r="L72" s="1529"/>
      <c r="S72" s="1467"/>
      <c r="T72" s="1468"/>
      <c r="U72" s="1468"/>
      <c r="X72" s="1521"/>
      <c r="Y72" s="1521"/>
      <c r="Z72" s="1521"/>
    </row>
    <row r="73" spans="1:26" ht="13.5" thickBot="1">
      <c r="A73" s="1456" t="s">
        <v>1199</v>
      </c>
      <c r="B73" s="1533">
        <v>106</v>
      </c>
      <c r="C73" s="1533">
        <v>107</v>
      </c>
      <c r="D73" s="1533">
        <f t="shared" si="108"/>
        <v>107</v>
      </c>
      <c r="E73" s="1533">
        <v>105</v>
      </c>
      <c r="F73" s="1534">
        <v>102</v>
      </c>
      <c r="G73" s="3398">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6">B75+(B$73-B$77)/4</f>
        <v>105</v>
      </c>
      <c r="C74" s="1531">
        <f t="shared" si="146"/>
        <v>106</v>
      </c>
      <c r="D74" s="1531">
        <f t="shared" si="108"/>
        <v>106</v>
      </c>
      <c r="E74" s="1531">
        <f t="shared" ref="E74:F76" si="147">E75+(E$73-E$77)/4</f>
        <v>104.5</v>
      </c>
      <c r="F74" s="1531">
        <f t="shared" si="147"/>
        <v>101.5</v>
      </c>
      <c r="G74" s="3399">
        <v>2002</v>
      </c>
      <c r="H74" s="1482">
        <v>3</v>
      </c>
      <c r="I74" s="1529"/>
      <c r="J74" s="1529"/>
      <c r="K74" s="1529"/>
      <c r="L74" s="1529"/>
      <c r="X74" s="1521"/>
      <c r="Y74" s="1521"/>
      <c r="Z74" s="1521"/>
    </row>
    <row r="75" spans="1:26">
      <c r="A75" s="1456" t="s">
        <v>1201</v>
      </c>
      <c r="B75" s="1531">
        <f t="shared" si="146"/>
        <v>104</v>
      </c>
      <c r="C75" s="1531">
        <f t="shared" si="146"/>
        <v>105</v>
      </c>
      <c r="D75" s="1531">
        <f t="shared" si="108"/>
        <v>105</v>
      </c>
      <c r="E75" s="1531">
        <f t="shared" si="147"/>
        <v>104</v>
      </c>
      <c r="F75" s="1531">
        <f t="shared" si="147"/>
        <v>101</v>
      </c>
      <c r="G75" s="3399">
        <v>2002</v>
      </c>
      <c r="H75" s="1460">
        <v>2</v>
      </c>
      <c r="I75" s="1529"/>
      <c r="J75" s="1529"/>
      <c r="K75" s="1529"/>
      <c r="L75" s="1529"/>
      <c r="X75" s="1521"/>
      <c r="Y75" s="1521"/>
      <c r="Z75" s="1521"/>
    </row>
    <row r="76" spans="1:26" s="1493" customFormat="1" ht="13.5" thickBot="1">
      <c r="A76" s="1489" t="s">
        <v>1202</v>
      </c>
      <c r="B76" s="1535">
        <f t="shared" si="146"/>
        <v>103</v>
      </c>
      <c r="C76" s="1535">
        <f t="shared" si="146"/>
        <v>104</v>
      </c>
      <c r="D76" s="1535">
        <f t="shared" si="108"/>
        <v>104</v>
      </c>
      <c r="E76" s="1535">
        <f t="shared" si="147"/>
        <v>103.5</v>
      </c>
      <c r="F76" s="1535">
        <f t="shared" si="147"/>
        <v>100.5</v>
      </c>
      <c r="G76" s="3400">
        <v>2002</v>
      </c>
      <c r="H76" s="1536">
        <v>1</v>
      </c>
      <c r="I76" s="1537"/>
      <c r="J76" s="1537"/>
      <c r="K76" s="1537"/>
      <c r="L76" s="1537"/>
      <c r="N76" s="1538"/>
      <c r="S76" s="1538"/>
      <c r="X76" s="1539"/>
      <c r="Y76" s="1539"/>
      <c r="Z76" s="1539"/>
    </row>
    <row r="77" spans="1:26" ht="13.5"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5"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2" zoomScale="80" zoomScaleNormal="80" zoomScaleSheetLayoutView="90" workbookViewId="0">
      <selection activeCell="H31" sqref="H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3404</v>
      </c>
      <c r="D1" s="1815" t="s">
        <v>70</v>
      </c>
      <c r="E1" s="1816" t="s">
        <v>1378</v>
      </c>
      <c r="F1" s="1279">
        <f ca="1">J53</f>
        <v>24.77</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6177</v>
      </c>
      <c r="C2" s="1840" t="s">
        <v>1507</v>
      </c>
      <c r="D2" s="1840"/>
      <c r="E2" s="1841"/>
      <c r="F2" s="1842"/>
      <c r="G2" s="1843"/>
      <c r="H2" s="1835"/>
      <c r="I2" s="1835"/>
      <c r="J2" s="1835"/>
      <c r="K2" s="1836"/>
      <c r="L2" s="1835"/>
      <c r="M2" s="1835"/>
    </row>
    <row r="3" spans="1:37" ht="18" customHeight="1" thickBot="1">
      <c r="A3" s="1844" t="s">
        <v>1508</v>
      </c>
      <c r="B3" s="1845">
        <f ca="1">IF(ISERROR(B2*10000/F43),0,ROUND(B2*10000/F43,0))</f>
        <v>29428</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415</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414</v>
      </c>
      <c r="D6" s="164" t="s">
        <v>2981</v>
      </c>
      <c r="E6" s="347" t="s">
        <v>1396</v>
      </c>
      <c r="F6" s="348">
        <f ca="1">INDIRECT("'数据-取费表'!u"&amp;$G$1)</f>
        <v>6</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2099.0100000000002</v>
      </c>
      <c r="G7" s="1846"/>
      <c r="H7" s="349"/>
      <c r="I7" s="3274"/>
      <c r="J7" s="351"/>
      <c r="K7" s="352"/>
      <c r="L7" s="347" t="s">
        <v>1397</v>
      </c>
      <c r="M7" s="348">
        <f ca="1">F7</f>
        <v>2099.0100000000002</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585</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630</v>
      </c>
      <c r="D14" s="2955" t="s">
        <v>1409</v>
      </c>
      <c r="E14" s="2950"/>
      <c r="F14" s="364"/>
      <c r="G14" s="1846"/>
      <c r="H14" s="1197" t="s">
        <v>1031</v>
      </c>
      <c r="I14" s="347" t="s">
        <v>1410</v>
      </c>
      <c r="J14" s="24">
        <f ca="1">C29</f>
        <v>944</v>
      </c>
      <c r="K14" s="2966"/>
      <c r="L14" s="975"/>
      <c r="M14" s="976"/>
    </row>
    <row r="15" spans="1:37" s="1853" customFormat="1" ht="18" customHeight="1" thickBot="1">
      <c r="A15" s="1197" t="s">
        <v>1032</v>
      </c>
      <c r="B15" s="347" t="s">
        <v>1411</v>
      </c>
      <c r="C15" s="24">
        <f ca="1">ROUND(C14*F15,0)</f>
        <v>32</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23</v>
      </c>
      <c r="K16" s="1333" t="s">
        <v>1416</v>
      </c>
      <c r="L16" s="2957"/>
      <c r="M16" s="1290"/>
    </row>
    <row r="17" spans="1:37" s="1853" customFormat="1" ht="18" customHeight="1">
      <c r="A17" s="1197" t="s">
        <v>1381</v>
      </c>
      <c r="B17" s="347" t="s">
        <v>1417</v>
      </c>
      <c r="C17" s="24">
        <f ca="1">ROUND(F17*(F43+INDIRECT("'数据-取费表'!S"&amp;$G$1))/10000,0)</f>
        <v>42</v>
      </c>
      <c r="D17" s="347" t="s">
        <v>1418</v>
      </c>
      <c r="E17" s="347" t="s">
        <v>1419</v>
      </c>
      <c r="F17" s="26">
        <f>'数据-取费表'!B35</f>
        <v>200</v>
      </c>
      <c r="G17" s="1849"/>
      <c r="H17" s="1197" t="s">
        <v>1031</v>
      </c>
      <c r="I17" s="347" t="s">
        <v>1420</v>
      </c>
      <c r="J17" s="24">
        <f ca="1">ROUND(IF(项目基本情况!B11="自然人",J6*M17/(1+'数据-取费表'!C42),J18+J19+J20),1)</f>
        <v>8.3000000000000007</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9</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713</v>
      </c>
      <c r="D19" s="140" t="s">
        <v>1427</v>
      </c>
      <c r="E19" s="2964"/>
      <c r="F19" s="26"/>
      <c r="G19" s="1846"/>
      <c r="H19" s="1197" t="s">
        <v>1032</v>
      </c>
      <c r="I19" s="347" t="s">
        <v>1428</v>
      </c>
      <c r="J19" s="24">
        <f ca="1">IF(K19="按租金收入计税",ROUND(J6*M19/(1+'数据-取费表'!C42),2),ROUND(C29*M19*0.7,2))</f>
        <v>7.93</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14</v>
      </c>
      <c r="D20" s="369" t="s">
        <v>1431</v>
      </c>
      <c r="E20" s="347" t="s">
        <v>1413</v>
      </c>
      <c r="F20" s="367">
        <f>'数据-取费表'!B37</f>
        <v>0.02</v>
      </c>
      <c r="G20" s="1849"/>
      <c r="H20" s="1197" t="s">
        <v>1380</v>
      </c>
      <c r="I20" s="164" t="s">
        <v>1432</v>
      </c>
      <c r="J20" s="25">
        <f ca="1">ROUND(M20*M21/10000,2)</f>
        <v>0.39</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214.94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14.2</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-23</v>
      </c>
      <c r="K25" s="1341" t="s">
        <v>1455</v>
      </c>
      <c r="L25" s="1342"/>
      <c r="M25" s="1343"/>
    </row>
    <row r="26" spans="1:37">
      <c r="A26" s="1197" t="s">
        <v>1030</v>
      </c>
      <c r="B26" s="347" t="s">
        <v>1456</v>
      </c>
      <c r="C26" s="24">
        <f ca="1">ROUND((C19+C20)*F26,0)</f>
        <v>109</v>
      </c>
      <c r="D26" s="369" t="s">
        <v>1457</v>
      </c>
      <c r="E26" s="358" t="s">
        <v>1458</v>
      </c>
      <c r="F26" s="357">
        <f ca="1">INDIRECT("'数据-取费表'!q"&amp;$G$1)</f>
        <v>0.15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3.0000000000000001E-3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944</v>
      </c>
      <c r="D29" s="1338"/>
      <c r="E29" s="1336"/>
      <c r="F29" s="1339"/>
      <c r="G29" s="1849"/>
      <c r="H29" s="380" t="s">
        <v>1029</v>
      </c>
      <c r="I29" s="381" t="s">
        <v>1470</v>
      </c>
      <c r="J29" s="382">
        <f ca="1">ROUND(J26/(1+F40)^F41,0)</f>
        <v>0</v>
      </c>
      <c r="K29" s="383" t="s">
        <v>1471</v>
      </c>
      <c r="L29" s="384"/>
      <c r="M29" s="385">
        <f ca="1">INDIRECT("'数据-取费表'!k"&amp;$G$1)</f>
        <v>2099.0100000000002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89</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69.8</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22.08</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47.31</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0.39</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214.94</v>
      </c>
      <c r="G35" s="1846"/>
      <c r="H35" s="745"/>
      <c r="I35" s="1855"/>
      <c r="J35" s="1856"/>
      <c r="K35" s="1857"/>
      <c r="L35" s="1854"/>
      <c r="M35" s="1854"/>
    </row>
    <row r="36" spans="1:18" ht="18" customHeight="1">
      <c r="A36" s="1348" t="s">
        <v>1035</v>
      </c>
      <c r="B36" s="347" t="s">
        <v>1440</v>
      </c>
      <c r="C36" s="24">
        <f ca="1">ROUND(C29*F36,1)</f>
        <v>14.2</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0.9</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4.2</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326</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6177</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0.03</v>
      </c>
      <c r="G42" s="1846"/>
      <c r="H42" s="732"/>
      <c r="I42" s="1855"/>
      <c r="J42" s="1856"/>
      <c r="K42" s="751"/>
      <c r="L42" s="732"/>
      <c r="M42" s="732"/>
    </row>
    <row r="43" spans="1:18" ht="18" customHeight="1" thickBot="1">
      <c r="A43" s="380" t="s">
        <v>1029</v>
      </c>
      <c r="B43" s="381" t="s">
        <v>1478</v>
      </c>
      <c r="C43" s="382">
        <f ca="1">ROUND(C40*10000/F43,0)</f>
        <v>29428</v>
      </c>
      <c r="D43" s="383" t="s">
        <v>1479</v>
      </c>
      <c r="E43" s="384" t="s">
        <v>1480</v>
      </c>
      <c r="F43" s="385">
        <f ca="1">INDIRECT("'数据-取费表'!k"&amp;$G$1)</f>
        <v>2099.0100000000002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-7510</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6177</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944</v>
      </c>
      <c r="R49" s="1881" t="s">
        <v>1520</v>
      </c>
    </row>
    <row r="50" spans="1:18" s="1837" customFormat="1" ht="13.5" thickBot="1">
      <c r="A50" s="1191"/>
      <c r="B50" s="1194"/>
      <c r="C50" s="1364"/>
      <c r="D50" s="1168"/>
      <c r="E50" s="1273" t="s">
        <v>1397</v>
      </c>
      <c r="F50" s="1274">
        <f ca="1">F7</f>
        <v>2099.0100000000002</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4076</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6177</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585</v>
      </c>
      <c r="D56" s="1908"/>
      <c r="E56" s="1909"/>
      <c r="F56" s="1901"/>
      <c r="I56" s="1910" t="s">
        <v>1545</v>
      </c>
      <c r="J56" s="1911" t="s">
        <v>3034</v>
      </c>
      <c r="K56" s="1882" t="s">
        <v>1546</v>
      </c>
      <c r="L56" s="1885" t="str">
        <f ca="1">IF(L48&lt;J51,"——",L48-J53)</f>
        <v>——</v>
      </c>
      <c r="O56" s="1879" t="s">
        <v>1036</v>
      </c>
      <c r="P56" s="1880" t="s">
        <v>1519</v>
      </c>
      <c r="Q56" s="1881">
        <f ca="1">C40+J29</f>
        <v>6177</v>
      </c>
      <c r="R56" s="1881" t="s">
        <v>1520</v>
      </c>
    </row>
    <row r="57" spans="1:18" s="1837" customFormat="1" ht="24.75" thickBot="1">
      <c r="A57" s="1912"/>
      <c r="B57" s="1165" t="s">
        <v>1469</v>
      </c>
      <c r="C57" s="282">
        <f ca="1">C29</f>
        <v>944</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95</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79.7</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79.3</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0.39</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6177</v>
      </c>
      <c r="R62" s="1881" t="s">
        <v>1043</v>
      </c>
    </row>
    <row r="63" spans="1:18" s="1837" customFormat="1" ht="13.5" thickBot="1">
      <c r="A63" s="372"/>
      <c r="B63" s="1171"/>
      <c r="C63" s="29"/>
      <c r="D63" s="1181"/>
      <c r="E63" s="1165" t="s">
        <v>1438</v>
      </c>
      <c r="F63" s="348">
        <f t="shared" ca="1" si="0"/>
        <v>214.94</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14.2</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0.9</v>
      </c>
      <c r="D65" s="1179" t="s">
        <v>1445</v>
      </c>
      <c r="E65" s="1165" t="s">
        <v>1413</v>
      </c>
      <c r="F65" s="376">
        <f t="shared" ca="1" si="0"/>
        <v>1.5E-3</v>
      </c>
      <c r="I65" s="1923" t="s">
        <v>1570</v>
      </c>
      <c r="J65" s="1924">
        <v>40</v>
      </c>
      <c r="K65" s="1924">
        <v>30</v>
      </c>
      <c r="L65" s="1924">
        <v>50</v>
      </c>
      <c r="M65" s="1926">
        <v>0.02</v>
      </c>
      <c r="O65" s="1879" t="s">
        <v>1036</v>
      </c>
      <c r="P65" s="1880" t="s">
        <v>1519</v>
      </c>
      <c r="Q65" s="1881">
        <f ca="1">C40+J29</f>
        <v>6177</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-95</v>
      </c>
      <c r="D67" s="1178" t="s">
        <v>1455</v>
      </c>
      <c r="E67" s="1183"/>
      <c r="F67" s="1184"/>
      <c r="O67" s="1889" t="s">
        <v>1038</v>
      </c>
      <c r="P67" s="1880" t="s">
        <v>1553</v>
      </c>
      <c r="Q67" s="1927">
        <f ca="1">L51</f>
        <v>4076</v>
      </c>
      <c r="R67" s="1881" t="s">
        <v>1573</v>
      </c>
    </row>
    <row r="68" spans="1:18" s="1837" customFormat="1" ht="16.5" thickBot="1">
      <c r="A68" s="1162" t="s">
        <v>1028</v>
      </c>
      <c r="B68" s="1163" t="s">
        <v>1476</v>
      </c>
      <c r="C68" s="346">
        <f ca="1">ROUND(C67*(1-((1+F70)/(1+F68))^F69)/(F68-F70),0)</f>
        <v>-1333</v>
      </c>
      <c r="D68" s="1180" t="s">
        <v>1460</v>
      </c>
      <c r="E68" s="1165" t="s">
        <v>1461</v>
      </c>
      <c r="F68" s="357">
        <f ca="1">F40</f>
        <v>0.05</v>
      </c>
      <c r="O68" s="1889" t="s">
        <v>1039</v>
      </c>
      <c r="P68" s="1928" t="s">
        <v>1574</v>
      </c>
      <c r="Q68" s="1881">
        <f ca="1">ROUND(Q69-Q70*Q71,0)</f>
        <v>276</v>
      </c>
      <c r="R68" s="1881" t="s">
        <v>1047</v>
      </c>
    </row>
    <row r="69" spans="1:18" s="1837" customFormat="1" ht="13.5" thickBot="1">
      <c r="A69" s="1166"/>
      <c r="B69" s="1167"/>
      <c r="C69" s="351"/>
      <c r="D69" s="1185" t="s">
        <v>1464</v>
      </c>
      <c r="E69" s="1165" t="s">
        <v>1465</v>
      </c>
      <c r="F69" s="379">
        <f ca="1">F41</f>
        <v>24.77</v>
      </c>
      <c r="O69" s="1889" t="s">
        <v>1044</v>
      </c>
      <c r="P69" s="1928" t="s">
        <v>1575</v>
      </c>
      <c r="Q69" s="1881">
        <f ca="1">C39</f>
        <v>326</v>
      </c>
      <c r="R69" s="1881" t="s">
        <v>1520</v>
      </c>
    </row>
    <row r="70" spans="1:18" s="1837" customFormat="1" ht="13.5" thickBot="1">
      <c r="A70" s="1169"/>
      <c r="B70" s="1170"/>
      <c r="C70" s="355"/>
      <c r="D70" s="1181"/>
      <c r="E70" s="1165" t="s">
        <v>1468</v>
      </c>
      <c r="F70" s="1271"/>
      <c r="O70" s="1889" t="s">
        <v>1045</v>
      </c>
      <c r="P70" s="1928" t="s">
        <v>1576</v>
      </c>
      <c r="Q70" s="1881">
        <f ca="1">C13</f>
        <v>585</v>
      </c>
      <c r="R70" s="1881" t="s">
        <v>1520</v>
      </c>
    </row>
    <row r="71" spans="1:18" s="1837" customFormat="1" ht="13.5" thickBot="1">
      <c r="A71" s="1186" t="s">
        <v>1029</v>
      </c>
      <c r="B71" s="1187" t="s">
        <v>1478</v>
      </c>
      <c r="C71" s="382">
        <f ca="1">ROUND(C68*10000/F71,0)</f>
        <v>-6351</v>
      </c>
      <c r="D71" s="1188" t="s">
        <v>1479</v>
      </c>
      <c r="E71" s="1189" t="s">
        <v>1480</v>
      </c>
      <c r="F71" s="385">
        <f ca="1">F43</f>
        <v>2099.0100000000002</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50</v>
      </c>
      <c r="D75" s="1837"/>
      <c r="E75" s="1837"/>
      <c r="F75" s="1837"/>
      <c r="K75" s="1863"/>
      <c r="L75" s="1837"/>
      <c r="O75" s="1879" t="s">
        <v>1042</v>
      </c>
      <c r="P75" s="1880" t="s">
        <v>1540</v>
      </c>
      <c r="Q75" s="1881">
        <f ca="1">Q65+Q66</f>
        <v>6177</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0.84699999999999998</v>
      </c>
    </row>
    <row r="80" spans="1:18">
      <c r="B80" s="386" t="s">
        <v>1502</v>
      </c>
      <c r="C80" s="318">
        <f ca="1">ROUND(C75/C39,3)</f>
        <v>0.153</v>
      </c>
    </row>
    <row r="81" spans="2:3">
      <c r="B81" s="314" t="s">
        <v>1503</v>
      </c>
      <c r="C81" s="282"/>
    </row>
    <row r="82" spans="2:3">
      <c r="B82" s="317" t="s">
        <v>1504</v>
      </c>
      <c r="C82" s="319">
        <f ca="1">1-C83</f>
        <v>0.90500000000000003</v>
      </c>
    </row>
    <row r="83" spans="2:3">
      <c r="B83" s="317" t="s">
        <v>1505</v>
      </c>
      <c r="C83" s="318">
        <f ca="1">ROUND(C13/C40,3)</f>
        <v>9.5000000000000001E-2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8" sqref="F8"/>
      <selection pane="bottomLeft" activeCell="N20" sqref="N20"/>
    </sheetView>
  </sheetViews>
  <sheetFormatPr defaultColWidth="9" defaultRowHeight="12.75"/>
  <cols>
    <col min="1" max="1" width="19.5" style="139" customWidth="1"/>
    <col min="2" max="2" width="9.25" style="27" customWidth="1"/>
    <col min="3" max="3" width="9" style="27" customWidth="1"/>
    <col min="4" max="4" width="9" style="27"/>
    <col min="5" max="5" width="8.3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5.5">
      <c r="A2" s="1201"/>
      <c r="B2" s="703" t="s">
        <v>2959</v>
      </c>
      <c r="C2" s="704" t="str">
        <f t="shared" ref="C2:R2" si="0">C3&amp;"(含)"&amp;"-"&amp;D3</f>
        <v>0(含)-2000</v>
      </c>
      <c r="D2" s="705" t="str">
        <f t="shared" si="0"/>
        <v>2000(含)-4000</v>
      </c>
      <c r="E2" s="705" t="str">
        <f t="shared" si="0"/>
        <v>4000(含)-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2000</v>
      </c>
      <c r="E3" s="710">
        <v>4000</v>
      </c>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v>102</v>
      </c>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3074" t="s">
        <v>3400</v>
      </c>
      <c r="D16" s="1207" t="s">
        <v>3402</v>
      </c>
      <c r="E16" s="1207" t="s">
        <v>3401</v>
      </c>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2974" t="s">
        <v>3383</v>
      </c>
      <c r="D17" s="2975" t="s">
        <v>3384</v>
      </c>
      <c r="E17" s="2975" t="s">
        <v>3385</v>
      </c>
      <c r="F17" s="2975" t="s">
        <v>3386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99</v>
      </c>
      <c r="E18" s="1240">
        <v>98</v>
      </c>
      <c r="F18" s="1240">
        <v>40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45410</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29304</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15496.41</v>
      </c>
      <c r="C22" s="3185" t="s">
        <v>33</v>
      </c>
      <c r="D22" s="3186"/>
      <c r="E22" s="3186"/>
      <c r="F22" s="3186"/>
      <c r="G22" s="3186"/>
      <c r="H22" s="3186"/>
      <c r="I22" s="3186"/>
      <c r="J22" s="3186"/>
      <c r="K22" s="3186"/>
      <c r="L22" s="3186"/>
      <c r="M22" s="3186"/>
      <c r="N22" s="3186"/>
      <c r="O22" s="3186"/>
      <c r="P22" s="3186"/>
      <c r="Q22" s="3410"/>
      <c r="R22" s="716">
        <f ca="1">ROUND(S22*10000/B22,0)</f>
        <v>29304</v>
      </c>
      <c r="S22" s="24">
        <f ca="1">SUM(S24:S10000)</f>
        <v>45410</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3253</v>
      </c>
      <c r="B24" s="3073">
        <v>2099.0100000000002</v>
      </c>
      <c r="C24" s="719">
        <v>1</v>
      </c>
      <c r="D24" s="720"/>
      <c r="E24" s="719">
        <v>1</v>
      </c>
      <c r="F24" s="720"/>
      <c r="G24" s="719">
        <v>1</v>
      </c>
      <c r="H24" s="720"/>
      <c r="I24" s="719">
        <v>1</v>
      </c>
      <c r="J24" s="720"/>
      <c r="K24" s="719">
        <v>1</v>
      </c>
      <c r="L24" s="720"/>
      <c r="M24" s="719">
        <v>1</v>
      </c>
      <c r="N24" s="720"/>
      <c r="O24" s="719">
        <v>1</v>
      </c>
      <c r="P24" s="720" t="s">
        <v>3371</v>
      </c>
      <c r="Q24" s="719">
        <v>1</v>
      </c>
      <c r="R24" s="721">
        <f ca="1">'结果表-办公'!G20</f>
        <v>31601</v>
      </c>
      <c r="S24" s="719">
        <f t="shared" ref="S24:S87" ca="1" si="5">ROUND(R24*B24/10000,0)</f>
        <v>6633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
        <v>3387</v>
      </c>
      <c r="B25" s="3073">
        <v>390.54</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3371</v>
      </c>
      <c r="Q25" s="24">
        <f>(SUMIF($17:$17,P25,$18:$18)-SUMIF($17:$17,$P$24,$18:$18)+100)/100</f>
        <v>1</v>
      </c>
      <c r="R25" s="716">
        <f ca="1">IF(B25="",0,ROUND($R$24*C25*E25*G25*I25*K25*M25*O25*Q25,0))</f>
        <v>31285</v>
      </c>
      <c r="S25" s="361">
        <f t="shared" ca="1" si="5"/>
        <v>1222</v>
      </c>
    </row>
    <row r="26" spans="1:45">
      <c r="A26" s="2980" t="s">
        <v>3388</v>
      </c>
      <c r="B26" s="3073">
        <v>1136.8499999999999</v>
      </c>
      <c r="C26" s="24">
        <f t="shared" ref="C26:C89" si="6">IF(B26="",1,(LOOKUP(B26,$3:$3,$4:$4)-LOOKUP($B$24,$3:$3,$4:$4)+100)/100)</f>
        <v>0.99</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3371</v>
      </c>
      <c r="Q26" s="24">
        <f t="shared" ref="Q26:Q89" si="13">(SUMIF($17:$17,P26,$18:$18)-SUMIF($17:$17,$P$24,$18:$18)+100)/100</f>
        <v>1</v>
      </c>
      <c r="R26" s="716">
        <f t="shared" ref="R26:R89" ca="1" si="14">IF(B26="",0,ROUND($R$24*C26*E26*G26*I26*K26*M26*O26*Q26,0))</f>
        <v>31285</v>
      </c>
      <c r="S26" s="361">
        <f t="shared" ca="1" si="5"/>
        <v>3557</v>
      </c>
    </row>
    <row r="27" spans="1:45">
      <c r="A27" s="159" t="s">
        <v>3389</v>
      </c>
      <c r="B27" s="3073">
        <v>522.15</v>
      </c>
      <c r="C27" s="24">
        <f t="shared" si="6"/>
        <v>0.99</v>
      </c>
      <c r="D27" s="720"/>
      <c r="E27" s="24">
        <f t="shared" si="7"/>
        <v>1</v>
      </c>
      <c r="F27" s="720"/>
      <c r="G27" s="24">
        <f t="shared" si="8"/>
        <v>1</v>
      </c>
      <c r="H27" s="720"/>
      <c r="I27" s="24">
        <f t="shared" si="9"/>
        <v>1</v>
      </c>
      <c r="J27" s="720"/>
      <c r="K27" s="24">
        <f t="shared" si="10"/>
        <v>1</v>
      </c>
      <c r="L27" s="720"/>
      <c r="M27" s="24">
        <f t="shared" si="11"/>
        <v>1</v>
      </c>
      <c r="N27" s="720"/>
      <c r="O27" s="24">
        <f t="shared" si="12"/>
        <v>1</v>
      </c>
      <c r="P27" s="3075" t="s">
        <v>3369</v>
      </c>
      <c r="Q27" s="24">
        <f t="shared" si="13"/>
        <v>1.01</v>
      </c>
      <c r="R27" s="716">
        <f t="shared" ca="1" si="14"/>
        <v>31598</v>
      </c>
      <c r="S27" s="361">
        <f t="shared" ca="1" si="5"/>
        <v>1650</v>
      </c>
    </row>
    <row r="28" spans="1:45">
      <c r="A28" s="159" t="s">
        <v>3390</v>
      </c>
      <c r="B28" s="3073">
        <v>747.51</v>
      </c>
      <c r="C28" s="24">
        <f t="shared" si="6"/>
        <v>0.99</v>
      </c>
      <c r="D28" s="720"/>
      <c r="E28" s="24">
        <f t="shared" si="7"/>
        <v>1</v>
      </c>
      <c r="F28" s="720"/>
      <c r="G28" s="24">
        <f t="shared" si="8"/>
        <v>1</v>
      </c>
      <c r="H28" s="720"/>
      <c r="I28" s="24">
        <f t="shared" si="9"/>
        <v>1</v>
      </c>
      <c r="J28" s="720"/>
      <c r="K28" s="24">
        <f t="shared" si="10"/>
        <v>1</v>
      </c>
      <c r="L28" s="720"/>
      <c r="M28" s="24">
        <f t="shared" si="11"/>
        <v>1</v>
      </c>
      <c r="N28" s="720"/>
      <c r="O28" s="24">
        <f t="shared" si="12"/>
        <v>1</v>
      </c>
      <c r="P28" s="3075" t="s">
        <v>3369</v>
      </c>
      <c r="Q28" s="24">
        <f t="shared" si="13"/>
        <v>1.01</v>
      </c>
      <c r="R28" s="716">
        <f t="shared" ca="1" si="14"/>
        <v>31598</v>
      </c>
      <c r="S28" s="361">
        <f t="shared" ca="1" si="5"/>
        <v>2362</v>
      </c>
    </row>
    <row r="29" spans="1:45">
      <c r="A29" s="159" t="s">
        <v>3391</v>
      </c>
      <c r="B29" s="3073">
        <v>659.19</v>
      </c>
      <c r="C29" s="24">
        <f t="shared" si="6"/>
        <v>0.99</v>
      </c>
      <c r="D29" s="720"/>
      <c r="E29" s="24">
        <f t="shared" si="7"/>
        <v>1</v>
      </c>
      <c r="F29" s="720"/>
      <c r="G29" s="24">
        <f t="shared" si="8"/>
        <v>1</v>
      </c>
      <c r="H29" s="720"/>
      <c r="I29" s="24">
        <f t="shared" si="9"/>
        <v>1</v>
      </c>
      <c r="J29" s="720"/>
      <c r="K29" s="24">
        <f t="shared" si="10"/>
        <v>1</v>
      </c>
      <c r="L29" s="720"/>
      <c r="M29" s="24">
        <f t="shared" si="11"/>
        <v>1</v>
      </c>
      <c r="N29" s="720"/>
      <c r="O29" s="24">
        <f t="shared" si="12"/>
        <v>1</v>
      </c>
      <c r="P29" s="3075" t="s">
        <v>3369</v>
      </c>
      <c r="Q29" s="24">
        <f t="shared" si="13"/>
        <v>1.01</v>
      </c>
      <c r="R29" s="716">
        <f t="shared" ca="1" si="14"/>
        <v>31598</v>
      </c>
      <c r="S29" s="361">
        <f t="shared" ca="1" si="5"/>
        <v>2083</v>
      </c>
    </row>
    <row r="30" spans="1:45">
      <c r="A30" s="159" t="s">
        <v>3254</v>
      </c>
      <c r="B30" s="3073">
        <v>525.14</v>
      </c>
      <c r="C30" s="24">
        <f t="shared" si="6"/>
        <v>0.99</v>
      </c>
      <c r="D30" s="720"/>
      <c r="E30" s="24">
        <f t="shared" si="7"/>
        <v>1</v>
      </c>
      <c r="F30" s="720"/>
      <c r="G30" s="24">
        <f t="shared" si="8"/>
        <v>1</v>
      </c>
      <c r="H30" s="720"/>
      <c r="I30" s="24">
        <f t="shared" si="9"/>
        <v>1</v>
      </c>
      <c r="J30" s="720"/>
      <c r="K30" s="24">
        <f t="shared" si="10"/>
        <v>1</v>
      </c>
      <c r="L30" s="720"/>
      <c r="M30" s="24">
        <f t="shared" si="11"/>
        <v>1</v>
      </c>
      <c r="N30" s="720"/>
      <c r="O30" s="24">
        <f t="shared" si="12"/>
        <v>1</v>
      </c>
      <c r="P30" s="3075" t="s">
        <v>3369</v>
      </c>
      <c r="Q30" s="24">
        <f t="shared" si="13"/>
        <v>1.01</v>
      </c>
      <c r="R30" s="716">
        <f t="shared" ca="1" si="14"/>
        <v>31598</v>
      </c>
      <c r="S30" s="361">
        <f t="shared" ca="1" si="5"/>
        <v>1659</v>
      </c>
    </row>
    <row r="31" spans="1:45">
      <c r="A31" s="159" t="s">
        <v>3255</v>
      </c>
      <c r="B31" s="3073">
        <v>35.47</v>
      </c>
      <c r="C31" s="24">
        <f t="shared" si="6"/>
        <v>0.99</v>
      </c>
      <c r="D31" s="720"/>
      <c r="E31" s="24">
        <f t="shared" si="7"/>
        <v>1</v>
      </c>
      <c r="F31" s="720"/>
      <c r="G31" s="24">
        <f t="shared" si="8"/>
        <v>1</v>
      </c>
      <c r="H31" s="720"/>
      <c r="I31" s="24">
        <f t="shared" si="9"/>
        <v>1</v>
      </c>
      <c r="J31" s="720"/>
      <c r="K31" s="24">
        <f t="shared" si="10"/>
        <v>1</v>
      </c>
      <c r="L31" s="720"/>
      <c r="M31" s="24">
        <f t="shared" si="11"/>
        <v>1</v>
      </c>
      <c r="N31" s="720"/>
      <c r="O31" s="24">
        <f t="shared" si="12"/>
        <v>1</v>
      </c>
      <c r="P31" s="3075" t="s">
        <v>3369</v>
      </c>
      <c r="Q31" s="24">
        <f t="shared" si="13"/>
        <v>1.01</v>
      </c>
      <c r="R31" s="716">
        <f t="shared" ca="1" si="14"/>
        <v>31598</v>
      </c>
      <c r="S31" s="361">
        <f t="shared" ca="1" si="5"/>
        <v>112</v>
      </c>
    </row>
    <row r="32" spans="1:45">
      <c r="A32" s="159" t="s">
        <v>3392</v>
      </c>
      <c r="B32" s="3073">
        <v>1776.4</v>
      </c>
      <c r="C32" s="24">
        <f t="shared" si="6"/>
        <v>0.99</v>
      </c>
      <c r="D32" s="720"/>
      <c r="E32" s="24">
        <f t="shared" si="7"/>
        <v>1</v>
      </c>
      <c r="F32" s="720"/>
      <c r="G32" s="24">
        <f t="shared" si="8"/>
        <v>1</v>
      </c>
      <c r="H32" s="720"/>
      <c r="I32" s="24">
        <f t="shared" si="9"/>
        <v>1</v>
      </c>
      <c r="J32" s="720"/>
      <c r="K32" s="24">
        <f t="shared" si="10"/>
        <v>1</v>
      </c>
      <c r="L32" s="720"/>
      <c r="M32" s="24">
        <f t="shared" si="11"/>
        <v>1</v>
      </c>
      <c r="N32" s="720"/>
      <c r="O32" s="24">
        <f t="shared" si="12"/>
        <v>1</v>
      </c>
      <c r="P32" s="3075" t="s">
        <v>3369</v>
      </c>
      <c r="Q32" s="24">
        <f t="shared" si="13"/>
        <v>1.01</v>
      </c>
      <c r="R32" s="716">
        <f t="shared" ca="1" si="14"/>
        <v>31598</v>
      </c>
      <c r="S32" s="361">
        <f t="shared" ca="1" si="5"/>
        <v>5613</v>
      </c>
    </row>
    <row r="33" spans="1:19">
      <c r="A33" s="159" t="s">
        <v>3393</v>
      </c>
      <c r="B33" s="3073">
        <v>362.9</v>
      </c>
      <c r="C33" s="24">
        <f t="shared" si="6"/>
        <v>0.99</v>
      </c>
      <c r="D33" s="720"/>
      <c r="E33" s="24">
        <f t="shared" si="7"/>
        <v>1</v>
      </c>
      <c r="F33" s="720"/>
      <c r="G33" s="24">
        <f t="shared" si="8"/>
        <v>1</v>
      </c>
      <c r="H33" s="720"/>
      <c r="I33" s="24">
        <f t="shared" si="9"/>
        <v>1</v>
      </c>
      <c r="J33" s="720"/>
      <c r="K33" s="24">
        <f t="shared" si="10"/>
        <v>1</v>
      </c>
      <c r="L33" s="720"/>
      <c r="M33" s="24">
        <f t="shared" si="11"/>
        <v>1</v>
      </c>
      <c r="N33" s="720"/>
      <c r="O33" s="24">
        <f t="shared" si="12"/>
        <v>1</v>
      </c>
      <c r="P33" s="3075" t="s">
        <v>3403</v>
      </c>
      <c r="Q33" s="24">
        <f t="shared" si="13"/>
        <v>1.02</v>
      </c>
      <c r="R33" s="716">
        <f t="shared" ca="1" si="14"/>
        <v>31911</v>
      </c>
      <c r="S33" s="361">
        <f t="shared" ca="1" si="5"/>
        <v>1158</v>
      </c>
    </row>
    <row r="34" spans="1:19">
      <c r="A34" s="159" t="s">
        <v>3394</v>
      </c>
      <c r="B34" s="3073">
        <v>1677.77</v>
      </c>
      <c r="C34" s="24">
        <f t="shared" si="6"/>
        <v>0.99</v>
      </c>
      <c r="D34" s="720"/>
      <c r="E34" s="24">
        <f t="shared" si="7"/>
        <v>1</v>
      </c>
      <c r="F34" s="720"/>
      <c r="G34" s="24">
        <f t="shared" si="8"/>
        <v>1</v>
      </c>
      <c r="H34" s="720"/>
      <c r="I34" s="24">
        <f t="shared" si="9"/>
        <v>1</v>
      </c>
      <c r="J34" s="720"/>
      <c r="K34" s="24">
        <f t="shared" si="10"/>
        <v>1</v>
      </c>
      <c r="L34" s="720"/>
      <c r="M34" s="24">
        <f t="shared" si="11"/>
        <v>1</v>
      </c>
      <c r="N34" s="720"/>
      <c r="O34" s="24">
        <f t="shared" si="12"/>
        <v>1</v>
      </c>
      <c r="P34" s="3075" t="s">
        <v>3403</v>
      </c>
      <c r="Q34" s="24">
        <f t="shared" si="13"/>
        <v>1.02</v>
      </c>
      <c r="R34" s="716">
        <f t="shared" ca="1" si="14"/>
        <v>31911</v>
      </c>
      <c r="S34" s="361">
        <f t="shared" ca="1" si="5"/>
        <v>5354</v>
      </c>
    </row>
    <row r="35" spans="1:19">
      <c r="A35" s="159" t="s">
        <v>3395</v>
      </c>
      <c r="B35" s="3073">
        <v>2010.68</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3075" t="s">
        <v>3386</v>
      </c>
      <c r="Q35" s="24">
        <f t="shared" si="13"/>
        <v>0.42</v>
      </c>
      <c r="R35" s="716">
        <f t="shared" ca="1" si="14"/>
        <v>13272</v>
      </c>
      <c r="S35" s="361">
        <f t="shared" ca="1" si="5"/>
        <v>2669</v>
      </c>
    </row>
    <row r="36" spans="1:19">
      <c r="A36" s="159" t="s">
        <v>3396</v>
      </c>
      <c r="B36" s="3073">
        <v>359.14</v>
      </c>
      <c r="C36" s="24">
        <f t="shared" si="6"/>
        <v>0.99</v>
      </c>
      <c r="D36" s="720"/>
      <c r="E36" s="24">
        <f t="shared" si="7"/>
        <v>1</v>
      </c>
      <c r="F36" s="720"/>
      <c r="G36" s="24">
        <f t="shared" si="8"/>
        <v>1</v>
      </c>
      <c r="H36" s="720"/>
      <c r="I36" s="24">
        <f t="shared" si="9"/>
        <v>1</v>
      </c>
      <c r="J36" s="720"/>
      <c r="K36" s="24">
        <f t="shared" si="10"/>
        <v>1</v>
      </c>
      <c r="L36" s="720"/>
      <c r="M36" s="24">
        <f t="shared" si="11"/>
        <v>1</v>
      </c>
      <c r="N36" s="720"/>
      <c r="O36" s="24">
        <f t="shared" si="12"/>
        <v>1</v>
      </c>
      <c r="P36" s="3075" t="s">
        <v>3403</v>
      </c>
      <c r="Q36" s="24">
        <f t="shared" si="13"/>
        <v>1.02</v>
      </c>
      <c r="R36" s="716">
        <f t="shared" ca="1" si="14"/>
        <v>31911</v>
      </c>
      <c r="S36" s="361">
        <f t="shared" ca="1" si="5"/>
        <v>1146</v>
      </c>
    </row>
    <row r="37" spans="1:19">
      <c r="A37" s="159" t="s">
        <v>3313</v>
      </c>
      <c r="B37" s="3073">
        <v>340.23</v>
      </c>
      <c r="C37" s="24">
        <f t="shared" si="6"/>
        <v>0.99</v>
      </c>
      <c r="D37" s="720"/>
      <c r="E37" s="24">
        <f t="shared" si="7"/>
        <v>1</v>
      </c>
      <c r="F37" s="720"/>
      <c r="G37" s="24">
        <f t="shared" si="8"/>
        <v>1</v>
      </c>
      <c r="H37" s="720"/>
      <c r="I37" s="24">
        <f t="shared" si="9"/>
        <v>1</v>
      </c>
      <c r="J37" s="720"/>
      <c r="K37" s="24">
        <f t="shared" si="10"/>
        <v>1</v>
      </c>
      <c r="L37" s="720"/>
      <c r="M37" s="24">
        <f t="shared" si="11"/>
        <v>1</v>
      </c>
      <c r="N37" s="720"/>
      <c r="O37" s="24">
        <f t="shared" si="12"/>
        <v>1</v>
      </c>
      <c r="P37" s="3075" t="s">
        <v>3403</v>
      </c>
      <c r="Q37" s="24">
        <f t="shared" si="13"/>
        <v>1.02</v>
      </c>
      <c r="R37" s="716">
        <f t="shared" ca="1" si="14"/>
        <v>31911</v>
      </c>
      <c r="S37" s="361">
        <f t="shared" ca="1" si="5"/>
        <v>1086</v>
      </c>
    </row>
    <row r="38" spans="1:19">
      <c r="A38" s="159" t="s">
        <v>3316</v>
      </c>
      <c r="B38" s="3073">
        <v>281.88</v>
      </c>
      <c r="C38" s="24">
        <f t="shared" si="6"/>
        <v>0.99</v>
      </c>
      <c r="D38" s="720"/>
      <c r="E38" s="24">
        <f t="shared" si="7"/>
        <v>1</v>
      </c>
      <c r="F38" s="720"/>
      <c r="G38" s="24">
        <f t="shared" si="8"/>
        <v>1</v>
      </c>
      <c r="H38" s="720"/>
      <c r="I38" s="24">
        <f t="shared" si="9"/>
        <v>1</v>
      </c>
      <c r="J38" s="720"/>
      <c r="K38" s="24">
        <f t="shared" si="10"/>
        <v>1</v>
      </c>
      <c r="L38" s="720"/>
      <c r="M38" s="24">
        <f t="shared" si="11"/>
        <v>1</v>
      </c>
      <c r="N38" s="720"/>
      <c r="O38" s="24">
        <f t="shared" si="12"/>
        <v>1</v>
      </c>
      <c r="P38" s="3075" t="s">
        <v>3403</v>
      </c>
      <c r="Q38" s="24">
        <f t="shared" si="13"/>
        <v>1.02</v>
      </c>
      <c r="R38" s="716">
        <f t="shared" ca="1" si="14"/>
        <v>31911</v>
      </c>
      <c r="S38" s="361">
        <f t="shared" ca="1" si="5"/>
        <v>900</v>
      </c>
    </row>
    <row r="39" spans="1:19">
      <c r="A39" s="159" t="s">
        <v>3319</v>
      </c>
      <c r="B39" s="3073">
        <v>292.12</v>
      </c>
      <c r="C39" s="24">
        <f t="shared" si="6"/>
        <v>0.99</v>
      </c>
      <c r="D39" s="720"/>
      <c r="E39" s="24">
        <f t="shared" si="7"/>
        <v>1</v>
      </c>
      <c r="F39" s="720"/>
      <c r="G39" s="24">
        <f t="shared" si="8"/>
        <v>1</v>
      </c>
      <c r="H39" s="720"/>
      <c r="I39" s="24">
        <f t="shared" si="9"/>
        <v>1</v>
      </c>
      <c r="J39" s="720"/>
      <c r="K39" s="24">
        <f t="shared" si="10"/>
        <v>1</v>
      </c>
      <c r="L39" s="720"/>
      <c r="M39" s="24">
        <f t="shared" si="11"/>
        <v>1</v>
      </c>
      <c r="N39" s="720"/>
      <c r="O39" s="24">
        <f t="shared" si="12"/>
        <v>1</v>
      </c>
      <c r="P39" s="3075" t="s">
        <v>3403</v>
      </c>
      <c r="Q39" s="24">
        <f t="shared" si="13"/>
        <v>1.02</v>
      </c>
      <c r="R39" s="716">
        <f t="shared" ca="1" si="14"/>
        <v>31911</v>
      </c>
      <c r="S39" s="361">
        <f t="shared" ca="1" si="5"/>
        <v>932</v>
      </c>
    </row>
    <row r="40" spans="1:19">
      <c r="A40" s="159" t="s">
        <v>3397</v>
      </c>
      <c r="B40" s="3073">
        <v>359.14</v>
      </c>
      <c r="C40" s="24">
        <f t="shared" si="6"/>
        <v>0.99</v>
      </c>
      <c r="D40" s="720"/>
      <c r="E40" s="24">
        <f t="shared" si="7"/>
        <v>1</v>
      </c>
      <c r="F40" s="720"/>
      <c r="G40" s="24">
        <f t="shared" si="8"/>
        <v>1</v>
      </c>
      <c r="H40" s="720"/>
      <c r="I40" s="24">
        <f t="shared" si="9"/>
        <v>1</v>
      </c>
      <c r="J40" s="720"/>
      <c r="K40" s="24">
        <f t="shared" si="10"/>
        <v>1</v>
      </c>
      <c r="L40" s="720"/>
      <c r="M40" s="24">
        <f t="shared" si="11"/>
        <v>1</v>
      </c>
      <c r="N40" s="720"/>
      <c r="O40" s="24">
        <f t="shared" si="12"/>
        <v>1</v>
      </c>
      <c r="P40" s="3075" t="s">
        <v>3403</v>
      </c>
      <c r="Q40" s="24">
        <f t="shared" si="13"/>
        <v>1.02</v>
      </c>
      <c r="R40" s="716">
        <f t="shared" ca="1" si="14"/>
        <v>31911</v>
      </c>
      <c r="S40" s="361">
        <f t="shared" ca="1" si="5"/>
        <v>1146</v>
      </c>
    </row>
    <row r="41" spans="1:19">
      <c r="A41" s="159" t="s">
        <v>3326</v>
      </c>
      <c r="B41" s="3073">
        <v>247.17</v>
      </c>
      <c r="C41" s="24">
        <f t="shared" si="6"/>
        <v>0.99</v>
      </c>
      <c r="D41" s="720"/>
      <c r="E41" s="24">
        <f t="shared" si="7"/>
        <v>1</v>
      </c>
      <c r="F41" s="720"/>
      <c r="G41" s="24">
        <f t="shared" si="8"/>
        <v>1</v>
      </c>
      <c r="H41" s="720"/>
      <c r="I41" s="24">
        <f t="shared" si="9"/>
        <v>1</v>
      </c>
      <c r="J41" s="720"/>
      <c r="K41" s="24">
        <f t="shared" si="10"/>
        <v>1</v>
      </c>
      <c r="L41" s="720"/>
      <c r="M41" s="24">
        <f t="shared" si="11"/>
        <v>1</v>
      </c>
      <c r="N41" s="720"/>
      <c r="O41" s="24">
        <f t="shared" si="12"/>
        <v>1</v>
      </c>
      <c r="P41" s="3075" t="s">
        <v>3403</v>
      </c>
      <c r="Q41" s="24">
        <f t="shared" si="13"/>
        <v>1.02</v>
      </c>
      <c r="R41" s="716">
        <f t="shared" ca="1" si="14"/>
        <v>31911</v>
      </c>
      <c r="S41" s="361">
        <f t="shared" ca="1" si="5"/>
        <v>789</v>
      </c>
    </row>
    <row r="42" spans="1:19">
      <c r="A42" s="159" t="s">
        <v>3398</v>
      </c>
      <c r="B42" s="3073">
        <v>255.86</v>
      </c>
      <c r="C42" s="24">
        <f t="shared" si="6"/>
        <v>0.99</v>
      </c>
      <c r="D42" s="720"/>
      <c r="E42" s="24">
        <f t="shared" si="7"/>
        <v>1</v>
      </c>
      <c r="F42" s="720"/>
      <c r="G42" s="24">
        <f t="shared" si="8"/>
        <v>1</v>
      </c>
      <c r="H42" s="720"/>
      <c r="I42" s="24">
        <f t="shared" si="9"/>
        <v>1</v>
      </c>
      <c r="J42" s="720"/>
      <c r="K42" s="24">
        <f t="shared" si="10"/>
        <v>1</v>
      </c>
      <c r="L42" s="720"/>
      <c r="M42" s="24">
        <f t="shared" si="11"/>
        <v>1</v>
      </c>
      <c r="N42" s="720"/>
      <c r="O42" s="24">
        <f t="shared" si="12"/>
        <v>1</v>
      </c>
      <c r="P42" s="3075" t="s">
        <v>3403</v>
      </c>
      <c r="Q42" s="24">
        <f t="shared" si="13"/>
        <v>1.02</v>
      </c>
      <c r="R42" s="716">
        <f t="shared" ca="1" si="14"/>
        <v>31911</v>
      </c>
      <c r="S42" s="361">
        <f t="shared" ca="1" si="5"/>
        <v>816</v>
      </c>
    </row>
    <row r="43" spans="1:19">
      <c r="A43" s="159" t="s">
        <v>3331</v>
      </c>
      <c r="B43" s="3073">
        <v>340.23</v>
      </c>
      <c r="C43" s="24">
        <f t="shared" si="6"/>
        <v>0.99</v>
      </c>
      <c r="D43" s="720"/>
      <c r="E43" s="24">
        <f t="shared" si="7"/>
        <v>1</v>
      </c>
      <c r="F43" s="720"/>
      <c r="G43" s="24">
        <f t="shared" si="8"/>
        <v>1</v>
      </c>
      <c r="H43" s="720"/>
      <c r="I43" s="24">
        <f t="shared" si="9"/>
        <v>1</v>
      </c>
      <c r="J43" s="720"/>
      <c r="K43" s="24">
        <f t="shared" si="10"/>
        <v>1</v>
      </c>
      <c r="L43" s="720"/>
      <c r="M43" s="24">
        <f t="shared" si="11"/>
        <v>1</v>
      </c>
      <c r="N43" s="720"/>
      <c r="O43" s="24">
        <f t="shared" si="12"/>
        <v>1</v>
      </c>
      <c r="P43" s="3075" t="s">
        <v>3403</v>
      </c>
      <c r="Q43" s="24">
        <f t="shared" si="13"/>
        <v>1.02</v>
      </c>
      <c r="R43" s="716">
        <f t="shared" ca="1" si="14"/>
        <v>31911</v>
      </c>
      <c r="S43" s="361">
        <f t="shared" ca="1" si="5"/>
        <v>1086</v>
      </c>
    </row>
    <row r="44" spans="1:19">
      <c r="A44" s="159" t="s">
        <v>3334</v>
      </c>
      <c r="B44" s="3073">
        <v>281.88</v>
      </c>
      <c r="C44" s="24">
        <f t="shared" si="6"/>
        <v>0.99</v>
      </c>
      <c r="D44" s="720"/>
      <c r="E44" s="24">
        <f t="shared" si="7"/>
        <v>1</v>
      </c>
      <c r="F44" s="720"/>
      <c r="G44" s="24">
        <f t="shared" si="8"/>
        <v>1</v>
      </c>
      <c r="H44" s="720"/>
      <c r="I44" s="24">
        <f t="shared" si="9"/>
        <v>1</v>
      </c>
      <c r="J44" s="720"/>
      <c r="K44" s="24">
        <f t="shared" si="10"/>
        <v>1</v>
      </c>
      <c r="L44" s="720"/>
      <c r="M44" s="24">
        <f t="shared" si="11"/>
        <v>1</v>
      </c>
      <c r="N44" s="720"/>
      <c r="O44" s="24">
        <f t="shared" si="12"/>
        <v>1</v>
      </c>
      <c r="P44" s="3075" t="s">
        <v>3403</v>
      </c>
      <c r="Q44" s="24">
        <f t="shared" si="13"/>
        <v>1.02</v>
      </c>
      <c r="R44" s="716">
        <f t="shared" ca="1" si="14"/>
        <v>31911</v>
      </c>
      <c r="S44" s="361">
        <f t="shared" ca="1" si="5"/>
        <v>900</v>
      </c>
    </row>
    <row r="45" spans="1:19">
      <c r="A45" s="159" t="s">
        <v>3337</v>
      </c>
      <c r="B45" s="3073">
        <v>292.12</v>
      </c>
      <c r="C45" s="24">
        <f t="shared" si="6"/>
        <v>0.99</v>
      </c>
      <c r="D45" s="720"/>
      <c r="E45" s="24">
        <f t="shared" si="7"/>
        <v>1</v>
      </c>
      <c r="F45" s="720"/>
      <c r="G45" s="24">
        <f t="shared" si="8"/>
        <v>1</v>
      </c>
      <c r="H45" s="720"/>
      <c r="I45" s="24">
        <f t="shared" si="9"/>
        <v>1</v>
      </c>
      <c r="J45" s="720"/>
      <c r="K45" s="24">
        <f t="shared" si="10"/>
        <v>1</v>
      </c>
      <c r="L45" s="720"/>
      <c r="M45" s="24">
        <f t="shared" si="11"/>
        <v>1</v>
      </c>
      <c r="N45" s="720"/>
      <c r="O45" s="24">
        <f t="shared" si="12"/>
        <v>1</v>
      </c>
      <c r="P45" s="3075" t="s">
        <v>3403</v>
      </c>
      <c r="Q45" s="24">
        <f t="shared" si="13"/>
        <v>1.02</v>
      </c>
      <c r="R45" s="716">
        <f t="shared" ca="1" si="14"/>
        <v>31911</v>
      </c>
      <c r="S45" s="361">
        <f t="shared" ca="1" si="5"/>
        <v>932</v>
      </c>
    </row>
    <row r="46" spans="1:19">
      <c r="A46" s="159" t="s">
        <v>3340</v>
      </c>
      <c r="B46" s="3073">
        <v>247.17</v>
      </c>
      <c r="C46" s="24">
        <f t="shared" si="6"/>
        <v>0.99</v>
      </c>
      <c r="D46" s="720"/>
      <c r="E46" s="24">
        <f t="shared" si="7"/>
        <v>1</v>
      </c>
      <c r="F46" s="720"/>
      <c r="G46" s="24">
        <f t="shared" si="8"/>
        <v>1</v>
      </c>
      <c r="H46" s="720"/>
      <c r="I46" s="24">
        <f t="shared" si="9"/>
        <v>1</v>
      </c>
      <c r="J46" s="720"/>
      <c r="K46" s="24">
        <f t="shared" si="10"/>
        <v>1</v>
      </c>
      <c r="L46" s="720"/>
      <c r="M46" s="24">
        <f t="shared" si="11"/>
        <v>1</v>
      </c>
      <c r="N46" s="720"/>
      <c r="O46" s="24">
        <f t="shared" si="12"/>
        <v>1</v>
      </c>
      <c r="P46" s="3075" t="s">
        <v>3403</v>
      </c>
      <c r="Q46" s="24">
        <f t="shared" si="13"/>
        <v>1.02</v>
      </c>
      <c r="R46" s="716">
        <f t="shared" ca="1" si="14"/>
        <v>31911</v>
      </c>
      <c r="S46" s="361">
        <f t="shared" ca="1" si="5"/>
        <v>789</v>
      </c>
    </row>
    <row r="47" spans="1:19">
      <c r="A47" s="159" t="s">
        <v>3399</v>
      </c>
      <c r="B47" s="3073">
        <v>255.86</v>
      </c>
      <c r="C47" s="24">
        <f t="shared" si="6"/>
        <v>0.99</v>
      </c>
      <c r="D47" s="720"/>
      <c r="E47" s="24">
        <f t="shared" si="7"/>
        <v>1</v>
      </c>
      <c r="F47" s="720"/>
      <c r="G47" s="24">
        <f t="shared" si="8"/>
        <v>1</v>
      </c>
      <c r="H47" s="720"/>
      <c r="I47" s="24">
        <f t="shared" si="9"/>
        <v>1</v>
      </c>
      <c r="J47" s="720"/>
      <c r="K47" s="24">
        <f t="shared" si="10"/>
        <v>1</v>
      </c>
      <c r="L47" s="720"/>
      <c r="M47" s="24">
        <f t="shared" si="11"/>
        <v>1</v>
      </c>
      <c r="N47" s="720"/>
      <c r="O47" s="24">
        <f t="shared" si="12"/>
        <v>1</v>
      </c>
      <c r="P47" s="3075" t="s">
        <v>3403</v>
      </c>
      <c r="Q47" s="24">
        <f t="shared" si="13"/>
        <v>1.02</v>
      </c>
      <c r="R47" s="716">
        <f t="shared" ca="1" si="14"/>
        <v>31911</v>
      </c>
      <c r="S47" s="361">
        <f t="shared" ca="1" si="5"/>
        <v>816</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0.02</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0.02</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0.02</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0.02</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0.02</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0.02</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0.02</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0.02</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0.02</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0.02</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0.02</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0.02</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0.02</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0.02</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0.02</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0.02</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0.02</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0.02</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0.02</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0.02</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0.02</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0.02</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0.02</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0.02</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0.02</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0.02</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0.02</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0.02</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0.02</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0.02</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0.02</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0.02</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0.02</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0.02</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0.02</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0.02</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0.02</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0.02</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0.02</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0.02</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0.02</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0.02</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0.02</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0.02</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0.02</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0.02</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0.02</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0.02</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0.02</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0.02</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0.02</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0.02</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0.02</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0.02</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0.02</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0.02</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0.02</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0.02</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0.02</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0.02</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0.02</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0.02</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0.02</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0.02</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0.02</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0.02</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0.02</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0.02</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0.02</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0.02</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0.02</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0.02</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0.02</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0.02</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0.02</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0.02</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0.02</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0.02</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0.02</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0.02</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0.02</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0.02</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0.02</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0.02</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0.02</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0.02</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0.02</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0.02</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0.02</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0.02</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0.02</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0.02</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0.02</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0.02</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0.02</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0.02</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0.02</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0.02</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0.02</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0.02</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0.02</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0.02</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0.02</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0.02</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0.02</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0.02</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0.02</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0.02</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0.02</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0.02</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0.02</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0.02</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0.02</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0.02</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0.02</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0.02</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0.02</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0.02</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0.02</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0.02</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0.02</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0.02</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0.02</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0.02</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0.02</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0.02</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0.02</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0.02</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0.02</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0.02</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0.02</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0.02</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0.02</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0.02</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0.02</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0.02</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0.02</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0.02</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0.02</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0.02</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0.02</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0.02</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0.02</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0.02</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0.02</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0.02</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0.02</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0.02</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0.02</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0.02</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0.02</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0.02</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0.02</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0.02</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0.02</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0.02</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0.02</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0.02</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0.02</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0.02</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0.02</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0.02</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0.02</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0.02</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0.02</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0.02</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0.02</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0.02</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0.02</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0.02</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0.02</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0.02</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0.02</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0.02</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0.02</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0.02</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0.02</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0.02</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0.02</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0.02</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0.02</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0.02</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0.02</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0.02</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0.02</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0.02</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0.02</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0.02</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0.02</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0.02</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0.02</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0.02</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1612</v>
      </c>
      <c r="B1" s="1953"/>
      <c r="C1" s="1953"/>
      <c r="D1" s="1953"/>
      <c r="E1" s="1953"/>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955"/>
      <c r="B4" s="3084" t="s">
        <v>1621</v>
      </c>
      <c r="C4" s="3084"/>
      <c r="D4" s="3084"/>
      <c r="E4" s="1955"/>
    </row>
    <row r="5" spans="1:5" ht="16.5" thickTop="1">
      <c r="A5" s="1953"/>
      <c r="B5" s="3082" t="s">
        <v>1613</v>
      </c>
      <c r="C5" s="1956" t="s">
        <v>1614</v>
      </c>
      <c r="D5" s="1036">
        <f ca="1">'结果表-办公'!H101</f>
        <v>6633</v>
      </c>
      <c r="E5" s="1953"/>
    </row>
    <row r="6" spans="1:5" ht="15.75">
      <c r="A6" s="1953"/>
      <c r="B6" s="3082"/>
      <c r="C6" s="1956" t="s">
        <v>1615</v>
      </c>
      <c r="D6" s="1036" t="str">
        <f ca="1">NUMBERSTRING(INT(D5*10000),2)&amp;"元整"</f>
        <v>陆仟陆佰叁拾叁万元整</v>
      </c>
      <c r="E6" s="1953"/>
    </row>
    <row r="7" spans="1:5" ht="15.75">
      <c r="A7" s="1953"/>
      <c r="B7" s="3087"/>
      <c r="C7" s="1957" t="s">
        <v>1616</v>
      </c>
      <c r="D7" s="1037">
        <f ca="1">'结果表-办公'!H102</f>
        <v>3117</v>
      </c>
      <c r="E7" s="1953"/>
    </row>
    <row r="8" spans="1:5" ht="15.75">
      <c r="A8" s="1953"/>
      <c r="B8" s="3088" t="str">
        <f>'结果表-办公'!E103</f>
        <v>2.估价师知悉的法定优先受偿款</v>
      </c>
      <c r="C8" s="1958" t="s">
        <v>1617</v>
      </c>
      <c r="D8" s="1037">
        <f>'结果表-办公'!H103</f>
        <v>0</v>
      </c>
      <c r="E8" s="1953"/>
    </row>
    <row r="9" spans="1:5" ht="15.75">
      <c r="A9" s="1953"/>
      <c r="B9" s="3090"/>
      <c r="C9" s="1956" t="s">
        <v>1615</v>
      </c>
      <c r="D9" s="1036" t="str">
        <f>NUMBERSTRING(INT(D8*10000),2)&amp;"元整"</f>
        <v>零元整</v>
      </c>
      <c r="E9" s="1953"/>
    </row>
    <row r="10" spans="1:5" ht="15">
      <c r="A10" s="1953"/>
      <c r="B10" s="1959" t="s">
        <v>1620</v>
      </c>
      <c r="C10" s="1960" t="s">
        <v>1618</v>
      </c>
      <c r="D10" s="1038">
        <f>'结果表-办公'!H104</f>
        <v>0</v>
      </c>
      <c r="E10" s="1953"/>
    </row>
    <row r="11" spans="1:5" ht="15">
      <c r="A11" s="1953"/>
      <c r="B11" s="1959" t="s">
        <v>1622</v>
      </c>
      <c r="C11" s="1960" t="s">
        <v>1623</v>
      </c>
      <c r="D11" s="1038">
        <f>'结果表-办公'!H105</f>
        <v>0</v>
      </c>
      <c r="E11" s="1953"/>
    </row>
    <row r="12" spans="1:5" ht="15">
      <c r="A12" s="1953"/>
      <c r="B12" s="1959" t="s">
        <v>1624</v>
      </c>
      <c r="C12" s="1960" t="s">
        <v>1623</v>
      </c>
      <c r="D12" s="1038">
        <f>'结果表-办公'!H106</f>
        <v>0</v>
      </c>
      <c r="E12" s="1953"/>
    </row>
    <row r="13" spans="1:5" ht="15.75">
      <c r="A13" s="1953"/>
      <c r="B13" s="3081" t="str">
        <f>'结果表-办公'!E107</f>
        <v>——</v>
      </c>
      <c r="C13" s="1961" t="s">
        <v>1614</v>
      </c>
      <c r="D13" s="1039" t="str">
        <f>'结果表-办公'!H107</f>
        <v>——</v>
      </c>
      <c r="E13" s="1953"/>
    </row>
    <row r="14" spans="1:5" ht="15.75">
      <c r="A14" s="1953"/>
      <c r="B14" s="3082"/>
      <c r="C14" s="1956" t="s">
        <v>1615</v>
      </c>
      <c r="D14" s="1036" t="e">
        <f>NUMBERSTRING(INT(D13*10000),2)&amp;"元整"</f>
        <v>#VALUE!</v>
      </c>
      <c r="E14" s="1953"/>
    </row>
    <row r="15" spans="1:5" ht="15">
      <c r="A15" s="1953"/>
      <c r="B15" s="3087"/>
      <c r="C15" s="1957" t="s">
        <v>1625</v>
      </c>
      <c r="D15" s="1048" t="e">
        <f>'结果表-办公'!H108</f>
        <v>#VALUE!</v>
      </c>
      <c r="E15" s="1953"/>
    </row>
    <row r="16" spans="1:5" ht="15">
      <c r="A16" s="1953"/>
      <c r="B16" s="3088" t="str">
        <f>'结果表-办公'!E109</f>
        <v>3.抵押担保权已注销时的房地产抵押价值</v>
      </c>
      <c r="C16" s="1961" t="s">
        <v>1626</v>
      </c>
      <c r="D16" s="1962">
        <f ca="1">'结果表-办公'!H109</f>
        <v>6633</v>
      </c>
      <c r="E16" s="1953"/>
    </row>
    <row r="17" spans="1:5" ht="15.75">
      <c r="A17" s="1953"/>
      <c r="B17" s="3089"/>
      <c r="C17" s="1956" t="s">
        <v>1627</v>
      </c>
      <c r="D17" s="1036" t="str">
        <f ca="1">NUMBERSTRING(INT(D16*10000),2)&amp;"元整"</f>
        <v>陆仟陆佰叁拾叁万元整</v>
      </c>
      <c r="E17" s="1953"/>
    </row>
    <row r="18" spans="1:5" ht="15">
      <c r="A18" s="1953"/>
      <c r="B18" s="3090"/>
      <c r="C18" s="1957" t="s">
        <v>1616</v>
      </c>
      <c r="D18" s="1048">
        <f ca="1">'结果表-办公'!H110</f>
        <v>3117</v>
      </c>
      <c r="E18" s="1953"/>
    </row>
    <row r="19" spans="1:5" ht="15.75">
      <c r="A19" s="1953"/>
      <c r="B19" s="3081" t="str">
        <f>'结果表-办公'!E111</f>
        <v>——</v>
      </c>
      <c r="C19" s="1961" t="s">
        <v>1614</v>
      </c>
      <c r="D19" s="1037" t="str">
        <f>'结果表-办公'!H111</f>
        <v>——</v>
      </c>
      <c r="E19" s="1953"/>
    </row>
    <row r="20" spans="1:5" ht="15.75">
      <c r="A20" s="1953"/>
      <c r="B20" s="3082"/>
      <c r="C20" s="1956" t="s">
        <v>1627</v>
      </c>
      <c r="D20" s="1036" t="e">
        <f>NUMBERSTRING(INT(D19*10000),2)&amp;"元整"</f>
        <v>#VALUE!</v>
      </c>
      <c r="E20" s="1953"/>
    </row>
    <row r="21" spans="1:5" ht="15.75" thickBot="1">
      <c r="A21" s="1953"/>
      <c r="B21" s="3083"/>
      <c r="C21" s="1963" t="s">
        <v>1625</v>
      </c>
      <c r="D21" s="1049" t="str">
        <f>'结果表-办公'!H112</f>
        <v>——</v>
      </c>
      <c r="E21" s="1953"/>
    </row>
    <row r="22" spans="1:5" ht="15" thickTop="1">
      <c r="A22" s="1953"/>
      <c r="B22" s="1964" t="s">
        <v>1628</v>
      </c>
      <c r="C22" s="1953"/>
      <c r="D22" s="1953"/>
      <c r="E22" s="1953"/>
    </row>
    <row r="23" spans="1:5">
      <c r="A23" s="1953"/>
      <c r="B23" s="1953"/>
      <c r="C23" s="1953"/>
      <c r="D23" s="1953"/>
      <c r="E23" s="1953"/>
    </row>
    <row r="24" spans="1:5" ht="18.75">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3039</v>
      </c>
      <c r="D1" s="2412"/>
      <c r="E1" s="2412"/>
      <c r="F1" s="2414" t="s">
        <v>2071</v>
      </c>
      <c r="G1" s="2065" t="s">
        <v>3027</v>
      </c>
      <c r="H1" s="2415" t="str">
        <f>IF(G1="现房","——","估价对象范围")</f>
        <v>——</v>
      </c>
      <c r="I1" s="2416"/>
    </row>
    <row r="2" spans="1:12" ht="21.75" customHeight="1" thickBot="1">
      <c r="A2" s="3249" t="str">
        <f>项目基本情况!S2</f>
        <v>北京市房地产</v>
      </c>
      <c r="B2" s="3250"/>
      <c r="C2" s="3250"/>
      <c r="D2" s="3250"/>
      <c r="E2" s="3250"/>
      <c r="F2" s="3250"/>
      <c r="G2" s="3250"/>
      <c r="H2" s="3250"/>
      <c r="I2" s="3251"/>
    </row>
    <row r="3" spans="1:12" ht="12.75">
      <c r="A3" s="3252" t="s">
        <v>2072</v>
      </c>
      <c r="B3" s="3253"/>
      <c r="C3" s="3253"/>
      <c r="D3" s="3253"/>
      <c r="E3" s="3253"/>
      <c r="F3" s="3253"/>
      <c r="G3" s="3253"/>
      <c r="H3" s="3253"/>
      <c r="I3" s="3253"/>
    </row>
    <row r="4" spans="1:12" ht="14.25">
      <c r="A4" s="2419" t="s">
        <v>2073</v>
      </c>
      <c r="B4" s="2420" t="s">
        <v>2074</v>
      </c>
      <c r="C4" s="2421" t="s">
        <v>3044</v>
      </c>
      <c r="D4" s="2421" t="s">
        <v>3012</v>
      </c>
      <c r="E4" s="3233" t="s">
        <v>2075</v>
      </c>
      <c r="F4" s="3246"/>
      <c r="G4" s="3246"/>
      <c r="H4" s="3246"/>
      <c r="I4" s="3234"/>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24" t="s">
        <v>2076</v>
      </c>
      <c r="B5" s="3146">
        <v>25</v>
      </c>
      <c r="C5" s="3254"/>
      <c r="D5" s="3242"/>
      <c r="E5" s="140" t="s">
        <v>2077</v>
      </c>
      <c r="F5" s="2423"/>
      <c r="G5" s="2423"/>
      <c r="H5" s="2423"/>
      <c r="I5" s="1826"/>
    </row>
    <row r="6" spans="1:12" ht="12.75">
      <c r="A6" s="3224"/>
      <c r="B6" s="3146"/>
      <c r="C6" s="3256"/>
      <c r="D6" s="3242"/>
      <c r="E6" s="140" t="s">
        <v>2078</v>
      </c>
      <c r="F6" s="2423"/>
      <c r="G6" s="2423"/>
      <c r="H6" s="2423"/>
      <c r="I6" s="1826"/>
    </row>
    <row r="7" spans="1:12" ht="12.75">
      <c r="A7" s="3224"/>
      <c r="B7" s="3146"/>
      <c r="C7" s="3255"/>
      <c r="D7" s="3242"/>
      <c r="E7" s="140" t="s">
        <v>2079</v>
      </c>
      <c r="F7" s="2423"/>
      <c r="G7" s="2423"/>
      <c r="H7" s="2423"/>
      <c r="I7" s="1826"/>
    </row>
    <row r="8" spans="1:12" ht="12.75">
      <c r="A8" s="3224" t="s">
        <v>2080</v>
      </c>
      <c r="B8" s="3146">
        <v>15</v>
      </c>
      <c r="C8" s="3254"/>
      <c r="D8" s="3242"/>
      <c r="E8" s="140" t="s">
        <v>2081</v>
      </c>
      <c r="F8" s="2423"/>
      <c r="G8" s="2423"/>
      <c r="H8" s="2423"/>
      <c r="I8" s="1826"/>
    </row>
    <row r="9" spans="1:12" ht="12.75">
      <c r="A9" s="3224"/>
      <c r="B9" s="3146"/>
      <c r="C9" s="3255"/>
      <c r="D9" s="3242"/>
      <c r="E9" s="140" t="s">
        <v>2082</v>
      </c>
      <c r="F9" s="2423"/>
      <c r="G9" s="2423"/>
      <c r="H9" s="2423"/>
      <c r="I9" s="1826"/>
    </row>
    <row r="10" spans="1:12" ht="12.75">
      <c r="A10" s="3224" t="s">
        <v>2083</v>
      </c>
      <c r="B10" s="3146">
        <v>15</v>
      </c>
      <c r="C10" s="3254"/>
      <c r="D10" s="3242"/>
      <c r="E10" s="140" t="s">
        <v>2084</v>
      </c>
      <c r="F10" s="2423"/>
      <c r="G10" s="2423"/>
      <c r="H10" s="2423"/>
      <c r="I10" s="1826"/>
    </row>
    <row r="11" spans="1:12" ht="12.75">
      <c r="A11" s="3224"/>
      <c r="B11" s="3146"/>
      <c r="C11" s="3255"/>
      <c r="D11" s="3242"/>
      <c r="E11" s="140" t="s">
        <v>2085</v>
      </c>
      <c r="F11" s="2423"/>
      <c r="G11" s="2423"/>
      <c r="H11" s="2423"/>
      <c r="I11" s="1826"/>
    </row>
    <row r="12" spans="1:12" ht="12.75">
      <c r="A12" s="3224" t="s">
        <v>2086</v>
      </c>
      <c r="B12" s="3146">
        <v>15</v>
      </c>
      <c r="C12" s="3254"/>
      <c r="D12" s="3242"/>
      <c r="E12" s="140" t="s">
        <v>2087</v>
      </c>
      <c r="F12" s="2423"/>
      <c r="G12" s="2423"/>
      <c r="H12" s="2423"/>
      <c r="I12" s="1826"/>
    </row>
    <row r="13" spans="1:12" ht="12.75">
      <c r="A13" s="3224"/>
      <c r="B13" s="3146"/>
      <c r="C13" s="3255"/>
      <c r="D13" s="3242"/>
      <c r="E13" s="140" t="s">
        <v>2088</v>
      </c>
      <c r="F13" s="2423"/>
      <c r="G13" s="2423"/>
      <c r="H13" s="2423"/>
      <c r="I13" s="1826"/>
    </row>
    <row r="14" spans="1:12" ht="12.75">
      <c r="A14" s="3224" t="s">
        <v>2089</v>
      </c>
      <c r="B14" s="3146">
        <v>30</v>
      </c>
      <c r="C14" s="3254">
        <v>40</v>
      </c>
      <c r="D14" s="3242">
        <v>60</v>
      </c>
      <c r="E14" s="140" t="s">
        <v>2090</v>
      </c>
      <c r="F14" s="2423"/>
      <c r="G14" s="2423"/>
      <c r="H14" s="2423"/>
      <c r="I14" s="1826"/>
    </row>
    <row r="15" spans="1:12" ht="12.75">
      <c r="A15" s="3224"/>
      <c r="B15" s="3146"/>
      <c r="C15" s="3256"/>
      <c r="D15" s="3242"/>
      <c r="E15" s="140" t="s">
        <v>2091</v>
      </c>
      <c r="F15" s="2423"/>
      <c r="G15" s="2423"/>
      <c r="H15" s="2423"/>
      <c r="I15" s="1826"/>
    </row>
    <row r="16" spans="1:12" ht="12.75">
      <c r="A16" s="3224"/>
      <c r="B16" s="3146"/>
      <c r="C16" s="3255"/>
      <c r="D16" s="3242"/>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2404.44</v>
      </c>
      <c r="M18" s="2422">
        <f>IF(C1="",'数据-汇总表'!E3,SUMIF(项目类型,C1,'数据-汇总表'!E17:E26))</f>
        <v>2404.44</v>
      </c>
    </row>
    <row r="19" spans="1:35" ht="15">
      <c r="A19" s="2428" t="s">
        <v>2098</v>
      </c>
      <c r="B19" s="2429" t="s">
        <v>2099</v>
      </c>
      <c r="C19" s="143">
        <f ca="1">SUMIF(INDIRECT("'"&amp;C4&amp;"'"&amp;"!A:A"),'结果表-商业'!B19,INDIRECT("'"&amp;C4&amp;"'"&amp;"!B:B"))</f>
        <v>11933</v>
      </c>
      <c r="D19" s="144">
        <f ca="1">SUMIF(INDIRECT("'"&amp;D4&amp;"'"&amp;"!A:A"),'结果表-商业'!B19,INDIRECT("'"&amp;D4&amp;"'"&amp;"!B:B"))</f>
        <v>6404</v>
      </c>
      <c r="E19" s="2428" t="s">
        <v>2100</v>
      </c>
      <c r="F19" s="2429" t="s">
        <v>2099</v>
      </c>
      <c r="G19" s="145">
        <f ca="1">ROUND(C19*$C$18+D19*$D$18,0)</f>
        <v>8616</v>
      </c>
      <c r="H19" s="2430" t="s">
        <v>2101</v>
      </c>
      <c r="I19" s="138"/>
      <c r="K19" s="2422" t="s">
        <v>2102</v>
      </c>
      <c r="L19" s="2422">
        <f>IF(C1="",'数据-汇总表'!D3,SUMIF(项目类型,C1,'数据-汇总表'!D17:D26)+SUMIF(项目类型,C1,'数据-汇总表'!H17:H27))</f>
        <v>246.21</v>
      </c>
      <c r="M19" s="2422">
        <f>IF(C1="",'数据-汇总表'!D3,SUMIF(项目类型,C1,'数据-汇总表'!D17:D26))</f>
        <v>246.21</v>
      </c>
    </row>
    <row r="20" spans="1:35" ht="15">
      <c r="A20" s="2431"/>
      <c r="B20" s="1243" t="s">
        <v>2103</v>
      </c>
      <c r="C20" s="146">
        <f ca="1">SUMIF(INDIRECT("'"&amp;C4&amp;"'"&amp;"!A:A"),'结果表-商业'!B20,INDIRECT("'"&amp;C4&amp;"'"&amp;"!B:B"))</f>
        <v>49628</v>
      </c>
      <c r="D20" s="147">
        <f ca="1">SUMIF(INDIRECT("'"&amp;D4&amp;"'"&amp;"!A:A"),'结果表-商业'!B20,INDIRECT("'"&amp;D4&amp;"'"&amp;"!B:B"))</f>
        <v>26634</v>
      </c>
      <c r="E20" s="2431"/>
      <c r="F20" s="1243" t="s">
        <v>2103</v>
      </c>
      <c r="G20" s="148">
        <f ca="1">ROUND(C20*$C$18+D20*$D$18,0)</f>
        <v>35832</v>
      </c>
      <c r="H20" s="976" t="s">
        <v>2104</v>
      </c>
      <c r="I20" s="138"/>
    </row>
    <row r="21" spans="1:35" ht="15" customHeight="1" thickBot="1">
      <c r="A21" s="996"/>
      <c r="B21" s="2432" t="s">
        <v>2105</v>
      </c>
      <c r="C21" s="789">
        <f ca="1">ROUND(C19*10000/L19,0)</f>
        <v>484668</v>
      </c>
      <c r="D21" s="790">
        <f ca="1">ROUND(D19*10000/L19,0)</f>
        <v>260103</v>
      </c>
      <c r="E21" s="996"/>
      <c r="F21" s="2432" t="s">
        <v>2105</v>
      </c>
      <c r="G21" s="149">
        <f ca="1">ROUND(G19*10000/L19,0)</f>
        <v>349945</v>
      </c>
      <c r="H21" s="2433" t="s">
        <v>2104</v>
      </c>
      <c r="I21" s="138"/>
    </row>
    <row r="22" spans="1:35" ht="15" thickBot="1">
      <c r="A22" s="2276" t="s">
        <v>2106</v>
      </c>
      <c r="B22" s="2434"/>
      <c r="C22" s="2435"/>
      <c r="D22" s="791">
        <f ca="1">IF(C19&lt;D19,D19/C19-1,C19/D19-1)</f>
        <v>0.86336664584634604</v>
      </c>
      <c r="E22" s="138"/>
      <c r="F22" s="138"/>
      <c r="G22" s="138"/>
      <c r="H22" s="138"/>
      <c r="I22" s="138"/>
    </row>
    <row r="23" spans="1:35" ht="13.5" thickBot="1">
      <c r="A23" s="2412"/>
      <c r="B23" s="2412"/>
      <c r="C23" s="2412"/>
      <c r="D23" s="2412"/>
      <c r="E23" s="138"/>
      <c r="F23" s="138"/>
      <c r="G23" s="138"/>
      <c r="H23" s="138"/>
      <c r="I23" s="138"/>
    </row>
    <row r="24" spans="1:35" ht="14.25">
      <c r="A24" s="3263" t="s">
        <v>2107</v>
      </c>
      <c r="B24" s="2429" t="s">
        <v>2099</v>
      </c>
      <c r="C24" s="145">
        <f>IF(B30=0,0,D30)</f>
        <v>0</v>
      </c>
      <c r="D24" s="2436"/>
      <c r="E24" s="138"/>
      <c r="F24" s="138"/>
      <c r="G24" s="138"/>
      <c r="H24" s="138"/>
      <c r="I24" s="138"/>
    </row>
    <row r="25" spans="1:35" ht="14.25">
      <c r="A25" s="3264"/>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8616</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3" t="s">
        <v>2121</v>
      </c>
      <c r="B36" s="2455" t="s">
        <v>2122</v>
      </c>
      <c r="C36" s="154"/>
      <c r="D36" s="2456"/>
      <c r="E36" s="2457"/>
      <c r="F36" s="2458"/>
      <c r="G36" s="138"/>
      <c r="H36" s="138"/>
      <c r="I36" s="138"/>
    </row>
    <row r="37" spans="1:15" ht="15.75" thickBot="1">
      <c r="A37" s="3244"/>
      <c r="B37" s="2262" t="s">
        <v>2123</v>
      </c>
      <c r="C37" s="156"/>
      <c r="D37" s="1388"/>
      <c r="E37" s="1388"/>
      <c r="F37" s="2458"/>
      <c r="G37" s="138"/>
      <c r="H37" s="138"/>
      <c r="I37" s="138"/>
    </row>
    <row r="38" spans="1:15" ht="15.75" thickBot="1">
      <c r="A38" s="3245"/>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0" t="s">
        <v>2135</v>
      </c>
      <c r="B45" s="3261"/>
      <c r="C45" s="3262"/>
      <c r="D45" s="164">
        <f ca="1">ROUND(H101*F45,0)</f>
        <v>8616</v>
      </c>
      <c r="E45" s="165" t="s">
        <v>2136</v>
      </c>
      <c r="F45" s="166">
        <v>1</v>
      </c>
      <c r="G45" s="167" t="s">
        <v>2137</v>
      </c>
      <c r="H45" s="138"/>
      <c r="I45" s="138"/>
      <c r="J45" s="3179" t="s">
        <v>2138</v>
      </c>
      <c r="K45" s="3179"/>
      <c r="L45" s="3179"/>
      <c r="M45" s="3179"/>
      <c r="N45" s="3179"/>
      <c r="O45" s="3179"/>
    </row>
    <row r="46" spans="1:15" ht="14.25" customHeight="1">
      <c r="A46" s="3257" t="s">
        <v>2139</v>
      </c>
      <c r="B46" s="3258"/>
      <c r="C46" s="3258"/>
      <c r="D46" s="3258"/>
      <c r="E46" s="3258"/>
      <c r="F46" s="3258"/>
      <c r="G46" s="3259"/>
      <c r="H46" s="2474"/>
      <c r="I46" s="168"/>
      <c r="J46" s="2961">
        <v>1</v>
      </c>
      <c r="K46" s="3179" t="s">
        <v>2140</v>
      </c>
      <c r="L46" s="3179"/>
      <c r="M46" s="3180"/>
      <c r="N46" s="3180"/>
      <c r="O46" s="3180"/>
    </row>
    <row r="47" spans="1:15" ht="12" customHeight="1">
      <c r="A47" s="169" t="s">
        <v>2141</v>
      </c>
      <c r="B47" s="170"/>
      <c r="C47" s="171"/>
      <c r="D47" s="172" t="s">
        <v>2142</v>
      </c>
      <c r="E47" s="24" t="s">
        <v>2143</v>
      </c>
      <c r="F47" s="173" t="s">
        <v>2144</v>
      </c>
      <c r="G47" s="174" t="s">
        <v>2145</v>
      </c>
      <c r="H47" s="2474"/>
      <c r="I47" s="168"/>
      <c r="J47" s="2961">
        <v>2</v>
      </c>
      <c r="K47" s="3179" t="s">
        <v>2146</v>
      </c>
      <c r="L47" s="3179"/>
      <c r="M47" s="3181">
        <f>'数据-取费表'!B2</f>
        <v>43795</v>
      </c>
      <c r="N47" s="3181"/>
      <c r="O47" s="3181"/>
    </row>
    <row r="48" spans="1:15" ht="25.5">
      <c r="A48" s="3247" t="s">
        <v>2147</v>
      </c>
      <c r="B48" s="3248"/>
      <c r="C48" s="3248"/>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79" t="s">
        <v>2150</v>
      </c>
      <c r="L48" s="3179"/>
      <c r="M48" s="3182">
        <f ca="1">H101</f>
        <v>8616</v>
      </c>
      <c r="N48" s="3182"/>
      <c r="O48" s="3182"/>
    </row>
    <row r="49" spans="1:35" ht="25.5" customHeight="1">
      <c r="A49" s="176" t="s">
        <v>2151</v>
      </c>
      <c r="B49" s="3227" t="s">
        <v>2152</v>
      </c>
      <c r="C49" s="3227"/>
      <c r="D49" s="177">
        <v>0</v>
      </c>
      <c r="E49" s="23" t="s">
        <v>2153</v>
      </c>
      <c r="F49" s="28" t="s">
        <v>34</v>
      </c>
      <c r="G49" s="3208"/>
      <c r="H49" s="138"/>
      <c r="I49" s="2477"/>
      <c r="J49" s="2961">
        <v>4</v>
      </c>
      <c r="K49" s="3179" t="str">
        <f>IF(项目基本情况!E8="房地产抵押价值","房地产抵押价值","抵押担保权已注销时的房地产抵押价值")</f>
        <v>抵押担保权已注销时的房地产抵押价值</v>
      </c>
      <c r="L49" s="3179"/>
      <c r="M49" s="3182">
        <f ca="1">IF(项目基本情况!E8="房地产抵押价值",H107,H109)</f>
        <v>8616</v>
      </c>
      <c r="N49" s="3182"/>
      <c r="O49" s="3182"/>
    </row>
    <row r="50" spans="1:35" ht="25.5" customHeight="1">
      <c r="A50" s="178"/>
      <c r="B50" s="3227" t="s">
        <v>2154</v>
      </c>
      <c r="C50" s="3227"/>
      <c r="D50" s="179"/>
      <c r="E50" s="31"/>
      <c r="F50" s="180"/>
      <c r="G50" s="3209"/>
      <c r="H50" s="138"/>
      <c r="I50" s="2477"/>
      <c r="J50" s="3179" t="s">
        <v>2155</v>
      </c>
      <c r="K50" s="3179"/>
      <c r="L50" s="3179"/>
      <c r="M50" s="3179"/>
      <c r="N50" s="3179"/>
      <c r="O50" s="3179"/>
    </row>
    <row r="51" spans="1:35" ht="12" customHeight="1">
      <c r="A51" s="181"/>
      <c r="B51" s="3227" t="s">
        <v>2156</v>
      </c>
      <c r="C51" s="3227"/>
      <c r="D51" s="182"/>
      <c r="E51" s="30"/>
      <c r="F51" s="180"/>
      <c r="G51" s="3210"/>
      <c r="H51" s="138"/>
      <c r="I51" s="2477"/>
      <c r="J51" s="2960" t="s">
        <v>2157</v>
      </c>
      <c r="K51" s="3179" t="s">
        <v>2158</v>
      </c>
      <c r="L51" s="3179"/>
      <c r="M51" s="2960" t="s">
        <v>2159</v>
      </c>
      <c r="N51" s="2960" t="s">
        <v>2160</v>
      </c>
      <c r="O51" s="2960" t="s">
        <v>2161</v>
      </c>
    </row>
    <row r="52" spans="1:35" ht="24" customHeight="1">
      <c r="A52" s="183" t="s">
        <v>2162</v>
      </c>
      <c r="B52" s="3227" t="s">
        <v>2163</v>
      </c>
      <c r="C52" s="3227"/>
      <c r="D52" s="182">
        <f ca="1">ROUND(D45*'数据-取费表'!B41/(1+'数据-取费表'!C42),0)</f>
        <v>460</v>
      </c>
      <c r="E52" s="11" t="s">
        <v>2164</v>
      </c>
      <c r="F52" s="184">
        <f>'数据-取费表'!B41</f>
        <v>5.6000000000000001E-2</v>
      </c>
      <c r="G52" s="2479"/>
      <c r="H52" s="138"/>
      <c r="I52" s="2477"/>
      <c r="J52" s="2961">
        <v>1</v>
      </c>
      <c r="K52" s="3202" t="s">
        <v>2165</v>
      </c>
      <c r="L52" s="3202"/>
      <c r="M52" s="1746">
        <f>D48</f>
        <v>0</v>
      </c>
      <c r="N52" s="2961" t="str">
        <f>E48</f>
        <v>销售额×税（费）率</v>
      </c>
      <c r="O52" s="1747" t="str">
        <f>F48</f>
        <v>免征</v>
      </c>
    </row>
    <row r="53" spans="1:35" ht="12" customHeight="1">
      <c r="A53" s="183" t="s">
        <v>2166</v>
      </c>
      <c r="B53" s="3228" t="s">
        <v>2167</v>
      </c>
      <c r="C53" s="3229"/>
      <c r="D53" s="182">
        <f ca="1">ROUND(D45*'数据-取费表'!B41/(1+'数据-取费表'!C42),0)</f>
        <v>460</v>
      </c>
      <c r="E53" s="11" t="s">
        <v>2164</v>
      </c>
      <c r="F53" s="184">
        <f>'数据-取费表'!B41</f>
        <v>5.6000000000000001E-2</v>
      </c>
      <c r="G53" s="2479"/>
      <c r="H53" s="138"/>
      <c r="I53" s="2477"/>
      <c r="J53" s="2961">
        <v>2</v>
      </c>
      <c r="K53" s="3202" t="s">
        <v>2168</v>
      </c>
      <c r="L53" s="3202"/>
      <c r="M53" s="1746">
        <f t="shared" ref="M53:O54" ca="1" si="0">D55</f>
        <v>4</v>
      </c>
      <c r="N53" s="2961" t="str">
        <f t="shared" si="0"/>
        <v>销售额×税（费）率</v>
      </c>
      <c r="O53" s="1747">
        <f t="shared" si="0"/>
        <v>5.0000000000000001E-4</v>
      </c>
    </row>
    <row r="54" spans="1:35" ht="12" customHeight="1">
      <c r="A54" s="183" t="s">
        <v>2169</v>
      </c>
      <c r="B54" s="3228" t="s">
        <v>2170</v>
      </c>
      <c r="C54" s="3229"/>
      <c r="D54" s="182">
        <f ca="1">C68</f>
        <v>460</v>
      </c>
      <c r="E54" s="30" t="s">
        <v>2171</v>
      </c>
      <c r="F54" s="184">
        <f>'数据-取费表'!B41</f>
        <v>5.6000000000000001E-2</v>
      </c>
      <c r="G54" s="2479"/>
      <c r="H54" s="2480"/>
      <c r="I54" s="2477"/>
      <c r="J54" s="2961">
        <v>3</v>
      </c>
      <c r="K54" s="3202" t="s">
        <v>2172</v>
      </c>
      <c r="L54" s="3202"/>
      <c r="M54" s="1746">
        <f t="shared" ca="1" si="0"/>
        <v>4877</v>
      </c>
      <c r="N54" s="2961" t="str">
        <f t="shared" si="0"/>
        <v>增值额×税（费）率</v>
      </c>
      <c r="O54" s="1748" t="str">
        <f t="shared" si="0"/>
        <v>——</v>
      </c>
    </row>
    <row r="55" spans="1:35" ht="24" customHeight="1">
      <c r="A55" s="3266" t="s">
        <v>2173</v>
      </c>
      <c r="B55" s="3248"/>
      <c r="C55" s="3248"/>
      <c r="D55" s="185">
        <f ca="1">IF(H55="个人住宅",0,ROUND(D45*I55,0))</f>
        <v>4</v>
      </c>
      <c r="E55" s="11" t="s">
        <v>2174</v>
      </c>
      <c r="F55" s="184">
        <f>IF(H55="正常",I55,"免征")</f>
        <v>5.0000000000000001E-4</v>
      </c>
      <c r="G55" s="2479"/>
      <c r="H55" s="2476" t="s">
        <v>2175</v>
      </c>
      <c r="I55" s="186">
        <f>'数据-取费表'!B49</f>
        <v>5.0000000000000001E-4</v>
      </c>
      <c r="J55" s="2961" t="str">
        <f>IF(H59="非个人房产","",4)</f>
        <v/>
      </c>
      <c r="K55" s="3202" t="str">
        <f>IF(H59="非个人房产","——","个人所得税")</f>
        <v>——</v>
      </c>
      <c r="L55" s="3202"/>
      <c r="M55" s="1749" t="str">
        <f>D59</f>
        <v>——</v>
      </c>
      <c r="N55" s="2962" t="str">
        <f>E59</f>
        <v>——</v>
      </c>
      <c r="O55" s="1750" t="str">
        <f>F59</f>
        <v>——</v>
      </c>
    </row>
    <row r="56" spans="1:35" ht="24.75">
      <c r="A56" s="3266" t="s">
        <v>2176</v>
      </c>
      <c r="B56" s="3248"/>
      <c r="C56" s="3248"/>
      <c r="D56" s="185">
        <f ca="1">IF(H56="个人住宅",D57,D58)</f>
        <v>4877</v>
      </c>
      <c r="E56" s="11" t="s">
        <v>2177</v>
      </c>
      <c r="F56" s="184" t="str">
        <f>IF(H56="正常",F58,"免征")</f>
        <v>——</v>
      </c>
      <c r="G56" s="2481" t="s">
        <v>2178</v>
      </c>
      <c r="H56" s="2482" t="s">
        <v>2175</v>
      </c>
      <c r="I56" s="2483"/>
      <c r="J56" s="2961" t="str">
        <f>IF(项目基本情况!K6="上海银行",IF(J55="",4,J55+1),"")</f>
        <v/>
      </c>
      <c r="K56" s="3185" t="str">
        <f>IF(项目基本情况!K6="上海银行","其他处置费用","")</f>
        <v/>
      </c>
      <c r="L56" s="3186"/>
      <c r="M56" s="1746" t="str">
        <f>IF(项目基本情况!K6="上海银行",M69,"")</f>
        <v/>
      </c>
      <c r="N56" s="3188" t="str">
        <f>IF(项目基本情况!K6="上海银行","包含处置中涉及的律师、诉讼、拍卖、评估等费用","")</f>
        <v/>
      </c>
      <c r="O56" s="3189"/>
    </row>
    <row r="57" spans="1:35" ht="12.75">
      <c r="A57" s="183" t="s">
        <v>2151</v>
      </c>
      <c r="B57" s="3233" t="s">
        <v>2179</v>
      </c>
      <c r="C57" s="3234"/>
      <c r="D57" s="187">
        <v>0</v>
      </c>
      <c r="E57" s="23" t="s">
        <v>2153</v>
      </c>
      <c r="F57" s="155"/>
      <c r="G57" s="2479"/>
      <c r="H57" s="2483"/>
      <c r="I57" s="2483"/>
      <c r="J57" s="3202">
        <f>IF(AND(J55="",J56=""),4,IF(项目基本情况!K6="上海银行",'结果表-商业'!J56+1,'结果表-商业'!J55+1))</f>
        <v>4</v>
      </c>
      <c r="K57" s="3202" t="s">
        <v>2180</v>
      </c>
      <c r="L57" s="2484" t="s">
        <v>2181</v>
      </c>
      <c r="M57" s="1751"/>
      <c r="N57" s="1752">
        <f ca="1">SUMIF(M52:M56,"&lt;9e307")</f>
        <v>4881</v>
      </c>
      <c r="O57" s="2485"/>
      <c r="P57" s="1745">
        <f ca="1">N57/M49</f>
        <v>0.5665041782729805</v>
      </c>
    </row>
    <row r="58" spans="1:35" ht="24.75">
      <c r="A58" s="183" t="s">
        <v>2162</v>
      </c>
      <c r="B58" s="3233" t="s">
        <v>2182</v>
      </c>
      <c r="C58" s="3246"/>
      <c r="D58" s="185">
        <f ca="1">IF(H58="转让取得",C81,C97)</f>
        <v>4877</v>
      </c>
      <c r="E58" s="11" t="s">
        <v>2177</v>
      </c>
      <c r="F58" s="24" t="s">
        <v>34</v>
      </c>
      <c r="G58" s="2479"/>
      <c r="H58" s="2482" t="s">
        <v>2183</v>
      </c>
      <c r="I58" s="2483"/>
      <c r="J58" s="3202"/>
      <c r="K58" s="3202"/>
      <c r="L58" s="2484" t="s">
        <v>2184</v>
      </c>
      <c r="M58" s="1753"/>
      <c r="N58" s="2486" t="str">
        <f ca="1">NUMBERSTRING(INT(N57*10000),2)&amp;"元整"</f>
        <v>肆仟捌佰捌拾壹万元整</v>
      </c>
      <c r="O58" s="2487"/>
    </row>
    <row r="59" spans="1:35" ht="24.75" thickBot="1">
      <c r="A59" s="3206" t="s">
        <v>2185</v>
      </c>
      <c r="B59" s="3207"/>
      <c r="C59" s="3207"/>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4">
        <f>J57+1</f>
        <v>5</v>
      </c>
      <c r="K59" s="3202" t="s">
        <v>2187</v>
      </c>
      <c r="L59" s="2961" t="s">
        <v>2181</v>
      </c>
      <c r="M59" s="1754"/>
      <c r="N59" s="1755">
        <f ca="1">M49-N57</f>
        <v>3735</v>
      </c>
      <c r="O59" s="2489"/>
    </row>
    <row r="60" spans="1:35" ht="12" customHeight="1">
      <c r="A60" s="2490"/>
      <c r="B60" s="2412"/>
      <c r="C60" s="2412"/>
      <c r="D60" s="2412"/>
      <c r="E60" s="2161"/>
      <c r="F60" s="2483"/>
      <c r="G60" s="2483"/>
      <c r="H60" s="2491"/>
      <c r="I60" s="138"/>
      <c r="J60" s="3205"/>
      <c r="K60" s="3202"/>
      <c r="L60" s="2484" t="s">
        <v>2184</v>
      </c>
      <c r="M60" s="1753"/>
      <c r="N60" s="2486" t="str">
        <f ca="1">NUMBERSTRING(INT(N59*10000),2)&amp;"元整"</f>
        <v>叁仟柒佰叁拾伍万元整</v>
      </c>
      <c r="O60" s="2487"/>
    </row>
    <row r="61" spans="1:35" ht="13.5" thickBot="1">
      <c r="A61" s="3265" t="s">
        <v>2188</v>
      </c>
      <c r="B61" s="3265"/>
      <c r="C61" s="3265"/>
      <c r="D61" s="3265"/>
      <c r="E61" s="3265"/>
      <c r="F61" s="2483"/>
      <c r="G61" s="2483"/>
      <c r="H61" s="2491"/>
      <c r="I61" s="138"/>
      <c r="J61" s="2961">
        <f>J59+1</f>
        <v>6</v>
      </c>
      <c r="K61" s="3202" t="s">
        <v>2189</v>
      </c>
      <c r="L61" s="3202"/>
      <c r="M61" s="1756"/>
      <c r="N61" s="1757">
        <f ca="1">ROUND(N59*10000/'数据-汇总表'!E3,0)</f>
        <v>1755</v>
      </c>
      <c r="O61" s="2492"/>
    </row>
    <row r="62" spans="1:35" ht="12.75">
      <c r="A62" s="3222" t="s">
        <v>2190</v>
      </c>
      <c r="B62" s="3223"/>
      <c r="C62" s="2956"/>
      <c r="D62" s="2956" t="s">
        <v>2191</v>
      </c>
      <c r="E62" s="192" t="s">
        <v>2192</v>
      </c>
      <c r="F62" s="2483"/>
      <c r="G62" s="2483"/>
      <c r="H62" s="2491"/>
      <c r="I62" s="138"/>
    </row>
    <row r="63" spans="1:35" ht="12.75">
      <c r="A63" s="203" t="s">
        <v>774</v>
      </c>
      <c r="B63" s="193" t="s">
        <v>2193</v>
      </c>
      <c r="C63" s="194">
        <f ca="1">ROUND((C64+C65)/(1+'数据-取费表'!C42),0)</f>
        <v>8206</v>
      </c>
      <c r="D63" s="195"/>
      <c r="E63" s="196"/>
      <c r="F63" s="2483"/>
      <c r="G63" s="2483"/>
      <c r="H63" s="2491"/>
      <c r="I63" s="138"/>
      <c r="J63" s="3187" t="s">
        <v>2194</v>
      </c>
      <c r="K63" s="2965" t="s">
        <v>2195</v>
      </c>
      <c r="L63" s="1744">
        <f ca="1">IF(M49&gt;10000,M49*0.5%,IF(AND(M49&gt;1000,M49&lt;=10000),M49*1%,IF(AND(M49&gt;100,M49&lt;=1000),M49*3%,IF(AND(M49&gt;10,M49&lt;=100),M49*5%,M49*8%))))</f>
        <v>86.16</v>
      </c>
      <c r="M63" s="24">
        <f ca="1">ROUND(L63,1)</f>
        <v>86.2</v>
      </c>
      <c r="Z63" s="2417"/>
      <c r="AI63" s="2418"/>
    </row>
    <row r="64" spans="1:35" ht="14.25" customHeight="1">
      <c r="A64" s="197" t="s">
        <v>769</v>
      </c>
      <c r="B64" s="198" t="s">
        <v>2196</v>
      </c>
      <c r="C64" s="199">
        <f ca="1">D45</f>
        <v>8616</v>
      </c>
      <c r="D64" s="200" t="s">
        <v>32</v>
      </c>
      <c r="E64" s="201"/>
      <c r="F64" s="2483"/>
      <c r="G64" s="2483"/>
      <c r="H64" s="2491"/>
      <c r="I64" s="138"/>
      <c r="J64" s="3187"/>
      <c r="K64" s="2965" t="s">
        <v>2197</v>
      </c>
      <c r="L64" s="1744">
        <f ca="1">IF(M49&gt;2000,M49*0.5%,IF(AND(M49&gt;1000,M49&lt;=2000),M49*0.6%,IF(AND(M49&gt;500,M49&lt;=1000),M49*0.7%,IF(AND(M49&gt;200,M49&lt;=500),M49*0.8%,IF(AND(M49&gt;100,M49&lt;=200),M49*0.9%,IF(AND(M49&gt;50,M49&lt;=100),M49*1%,IF(AND(M49&gt;20,M49&lt;=50),M49*1.5%,IF(AND(M49&gt;10,M49&lt;=20),M49*2%,IF(AND(M49&gt;1,M49&lt;=10),M49*2.5%)))))))))</f>
        <v>43.08</v>
      </c>
      <c r="M64" s="24">
        <f t="shared" ref="M64:M65" ca="1" si="1">ROUND(L64,1)</f>
        <v>43.1</v>
      </c>
      <c r="N64" s="138" t="s">
        <v>2198</v>
      </c>
      <c r="Z64" s="2417"/>
      <c r="AI64" s="2418"/>
    </row>
    <row r="65" spans="1:35" ht="14.25" customHeight="1">
      <c r="A65" s="197" t="s">
        <v>770</v>
      </c>
      <c r="B65" s="198" t="s">
        <v>2199</v>
      </c>
      <c r="C65" s="202"/>
      <c r="D65" s="200"/>
      <c r="E65" s="201"/>
      <c r="F65" s="2483"/>
      <c r="G65" s="2483"/>
      <c r="H65" s="2491"/>
      <c r="I65" s="138"/>
      <c r="J65" s="3187"/>
      <c r="K65" s="2965" t="s">
        <v>2200</v>
      </c>
      <c r="L65" s="1744">
        <f ca="1">IF(M49&gt;1000,M49*0.1%,IF(AND(M49&gt;500,M49&lt;=1000),M49*0.5%,IF(AND(M49&gt;50,M49&lt;=500),M49*1%,IF(AND(M49&gt;1,M49&lt;=50),M49*1.5%))))</f>
        <v>8.6159999999999997</v>
      </c>
      <c r="M65" s="24">
        <f t="shared" ca="1" si="1"/>
        <v>8.6</v>
      </c>
      <c r="N65" s="138" t="s">
        <v>2198</v>
      </c>
      <c r="Z65" s="2417"/>
      <c r="AI65" s="2418"/>
    </row>
    <row r="66" spans="1:35" ht="14.25" customHeight="1">
      <c r="A66" s="203" t="s">
        <v>771</v>
      </c>
      <c r="B66" s="204" t="s">
        <v>2201</v>
      </c>
      <c r="C66" s="205"/>
      <c r="D66" s="206" t="s">
        <v>32</v>
      </c>
      <c r="E66" s="1768" t="s">
        <v>1363</v>
      </c>
      <c r="F66" s="2483"/>
      <c r="G66" s="2483"/>
      <c r="H66" s="2491"/>
      <c r="I66" s="138"/>
      <c r="J66" s="3187"/>
      <c r="K66" s="2965" t="s">
        <v>2202</v>
      </c>
      <c r="L66" s="1744">
        <f ca="1">M49*0.5%</f>
        <v>43.08</v>
      </c>
      <c r="M66" s="24">
        <f ca="1">IF(L66&gt;0.5,0.5,ROUND(L66,0))</f>
        <v>0.5</v>
      </c>
      <c r="N66" s="138" t="s">
        <v>2203</v>
      </c>
      <c r="Z66" s="2417"/>
      <c r="AI66" s="2418"/>
    </row>
    <row r="67" spans="1:35" ht="14.25" customHeight="1">
      <c r="A67" s="203" t="s">
        <v>772</v>
      </c>
      <c r="B67" s="204" t="s">
        <v>2204</v>
      </c>
      <c r="C67" s="207">
        <f ca="1">C63-C66</f>
        <v>8206</v>
      </c>
      <c r="D67" s="200" t="s">
        <v>32</v>
      </c>
      <c r="E67" s="201"/>
      <c r="F67" s="2483"/>
      <c r="G67" s="2483"/>
      <c r="H67" s="2491"/>
      <c r="I67" s="138"/>
      <c r="J67" s="3187"/>
      <c r="K67" s="2965" t="s">
        <v>2205</v>
      </c>
      <c r="L67" s="1744">
        <f ca="1">IF(M49&gt;=10000,(8.25+(M49-10000)*0.01%),IF(AND(M49&gt;=8000,M49&lt;10000),(7.85+(M49-8000)*0.02%),IF(AND(M49&gt;=5000,M49&lt;8000),(6.65+(M49-5000)*0.04%),IF(AND(M49&gt;=2000,M49&lt;5000),(4.25+(PM49-2000)*0.08%),IF(AND(M49&gt;=1000,M49&lt;2000),(2.75+(M49-1000)*0.15%),IF(AND(M49&gt;=100,M49&lt;1000),(0.5+(M49-100)*0.25%),IF(AND(M49&gt;0,M49&lt;100),M49*0.5%)))))))</f>
        <v>7.9731999999999994</v>
      </c>
      <c r="M67" s="24">
        <f ca="1">ROUND(L67*0.9,1)</f>
        <v>7.2</v>
      </c>
      <c r="Z67" s="2417"/>
      <c r="AI67" s="2418"/>
    </row>
    <row r="68" spans="1:35" ht="14.25" customHeight="1" thickBot="1">
      <c r="A68" s="208" t="s">
        <v>773</v>
      </c>
      <c r="B68" s="209" t="s">
        <v>2206</v>
      </c>
      <c r="C68" s="210">
        <f ca="1">IF(C67&lt;=0,0,ROUND(C67*D68,0))</f>
        <v>460</v>
      </c>
      <c r="D68" s="211">
        <f>'数据-取费表'!B41</f>
        <v>5.6000000000000001E-2</v>
      </c>
      <c r="E68" s="212"/>
      <c r="F68" s="2483"/>
      <c r="G68" s="2483"/>
      <c r="H68" s="2491"/>
      <c r="I68" s="138"/>
      <c r="J68" s="3187"/>
      <c r="K68" s="2965" t="s">
        <v>2207</v>
      </c>
      <c r="L68" s="1744">
        <f ca="1">IF(M49&gt;10000,M49*0.5%,IF(AND(M49&gt;5000,M49&lt;=10000),M49*1%,IF(AND(M49&gt;1000,M49&lt;=5000),M49*2%,IF(AND(M49&gt;200,M49&lt;=1000),M49*3%,M49*5%))))</f>
        <v>86.16</v>
      </c>
      <c r="M68" s="24">
        <f ca="1">ROUND(L68,1)</f>
        <v>86.2</v>
      </c>
      <c r="Z68" s="2417"/>
      <c r="AI68" s="2418"/>
    </row>
    <row r="69" spans="1:35" s="2440" customFormat="1" ht="16.5" customHeight="1">
      <c r="A69" s="2494"/>
      <c r="B69" s="2495"/>
      <c r="C69" s="2496"/>
      <c r="D69" s="2497"/>
      <c r="E69" s="2498"/>
      <c r="F69" s="2161"/>
      <c r="G69" s="2161"/>
      <c r="H69" s="2160"/>
      <c r="I69" s="2412"/>
      <c r="J69" s="3187"/>
      <c r="K69" s="2965" t="s">
        <v>2208</v>
      </c>
      <c r="L69" s="2499"/>
      <c r="M69" s="24">
        <f ca="1">ROUND(SUM(M63:M68),0)</f>
        <v>232</v>
      </c>
      <c r="N69" s="1745">
        <f ca="1">M69/M49</f>
        <v>2.6926648096564532E-2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1" t="s">
        <v>2209</v>
      </c>
      <c r="B70" s="3232"/>
      <c r="C70" s="3232"/>
      <c r="D70" s="3232"/>
      <c r="E70" s="3232"/>
      <c r="F70" s="3232"/>
      <c r="G70" s="3232"/>
      <c r="H70" s="32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2" t="s">
        <v>2190</v>
      </c>
      <c r="B71" s="3223"/>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8206</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49</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28" t="s">
        <v>2218</v>
      </c>
      <c r="F76" s="3227"/>
      <c r="G76" s="3227"/>
      <c r="H76" s="32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49</v>
      </c>
      <c r="D78" s="226">
        <f>'数据-取费表'!B43</f>
        <v>6.000000000000001E-3</v>
      </c>
      <c r="E78" s="3219" t="s">
        <v>2223</v>
      </c>
      <c r="F78" s="3220"/>
      <c r="G78" s="3220"/>
      <c r="H78" s="322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8157</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166.46938775510205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4877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1" t="s">
        <v>2227</v>
      </c>
      <c r="B83" s="3232"/>
      <c r="C83" s="3232"/>
      <c r="D83" s="3232"/>
      <c r="E83" s="3232"/>
      <c r="F83" s="3232"/>
      <c r="G83" s="3232"/>
      <c r="H83" s="32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2" t="s">
        <v>2190</v>
      </c>
      <c r="B84" s="3223"/>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8206</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49</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19" t="s">
        <v>2236</v>
      </c>
      <c r="F91" s="3220"/>
      <c r="G91" s="3220"/>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19" t="s">
        <v>2240</v>
      </c>
      <c r="F92" s="3220"/>
      <c r="G92" s="3220"/>
      <c r="H92" s="322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49</v>
      </c>
      <c r="D93" s="226">
        <f>'数据-取费表'!B43</f>
        <v>6.000000000000001E-3</v>
      </c>
      <c r="E93" s="3219" t="s">
        <v>2223</v>
      </c>
      <c r="F93" s="3220"/>
      <c r="G93" s="3220"/>
      <c r="H93" s="322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67" t="s">
        <v>2244</v>
      </c>
      <c r="F94" s="3268"/>
      <c r="G94" s="3268"/>
      <c r="H94" s="326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8157</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166.46938775510205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4877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203"/>
      <c r="E100" s="3172" t="s">
        <v>2247</v>
      </c>
      <c r="F100" s="3172"/>
      <c r="G100" s="3172"/>
      <c r="H100" s="3203"/>
      <c r="I100" s="138"/>
    </row>
    <row r="101" spans="1:35" ht="18.75" customHeight="1">
      <c r="A101" s="3211" t="s">
        <v>2248</v>
      </c>
      <c r="B101" s="3212"/>
      <c r="C101" s="736" t="str">
        <f>C4</f>
        <v>比较法-商业</v>
      </c>
      <c r="D101" s="737" t="str">
        <f>D4</f>
        <v>收益法-商业</v>
      </c>
      <c r="E101" s="3183" t="s">
        <v>2249</v>
      </c>
      <c r="F101" s="3184"/>
      <c r="G101" s="2514" t="s">
        <v>2250</v>
      </c>
      <c r="H101" s="1041">
        <f ca="1">H118</f>
        <v>8616</v>
      </c>
      <c r="I101" s="138"/>
    </row>
    <row r="102" spans="1:35" ht="18.75" customHeight="1">
      <c r="A102" s="3213" t="s">
        <v>2251</v>
      </c>
      <c r="B102" s="2514" t="s">
        <v>2250</v>
      </c>
      <c r="C102" s="736">
        <f ca="1">C19</f>
        <v>11933</v>
      </c>
      <c r="D102" s="737">
        <f ca="1">D19</f>
        <v>6404</v>
      </c>
      <c r="E102" s="3183"/>
      <c r="F102" s="3184"/>
      <c r="G102" s="2514" t="s">
        <v>2252</v>
      </c>
      <c r="H102" s="371">
        <f ca="1">I118</f>
        <v>35834</v>
      </c>
      <c r="I102" s="138"/>
    </row>
    <row r="103" spans="1:35" ht="42.75" customHeight="1">
      <c r="A103" s="3213"/>
      <c r="B103" s="2514" t="s">
        <v>2252</v>
      </c>
      <c r="C103" s="738">
        <f ca="1">C20</f>
        <v>49628</v>
      </c>
      <c r="D103" s="739">
        <f ca="1">D20</f>
        <v>26634</v>
      </c>
      <c r="E103" s="3177" t="s">
        <v>2253</v>
      </c>
      <c r="F103" s="3178"/>
      <c r="G103" s="2515" t="s">
        <v>2254</v>
      </c>
      <c r="H103" s="1041">
        <f>IF(D36="正常操作",H104+H105+H106,H105+H106)</f>
        <v>0</v>
      </c>
      <c r="I103" s="138"/>
    </row>
    <row r="104" spans="1:35" ht="18.75" customHeight="1">
      <c r="A104" s="3213" t="s">
        <v>2255</v>
      </c>
      <c r="B104" s="2516" t="s">
        <v>2250</v>
      </c>
      <c r="C104" s="740">
        <f ca="1">H118</f>
        <v>8616</v>
      </c>
      <c r="D104" s="741"/>
      <c r="E104" s="2262" t="s">
        <v>2256</v>
      </c>
      <c r="F104" s="2253"/>
      <c r="G104" s="2515" t="s">
        <v>2254</v>
      </c>
      <c r="H104" s="1042">
        <f>IF(D36="同一抵押权人同一抵押物续贷",C36&amp;"（未扣减，详见特别提示）",C36)</f>
        <v>0</v>
      </c>
      <c r="I104" s="138"/>
    </row>
    <row r="105" spans="1:35" ht="18.75" customHeight="1" thickBot="1">
      <c r="A105" s="3225"/>
      <c r="B105" s="2517" t="s">
        <v>2252</v>
      </c>
      <c r="C105" s="742">
        <f ca="1">I118</f>
        <v>35834</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4" t="str">
        <f>IF(项目基本情况!E8="已注销","——","3.房地产抵押价值")</f>
        <v>——</v>
      </c>
      <c r="F107" s="3184"/>
      <c r="G107" s="2514" t="s">
        <v>2250</v>
      </c>
      <c r="H107" s="1041" t="str">
        <f>IF(E107="——","——",H101-H103)</f>
        <v>——</v>
      </c>
      <c r="I107" s="138"/>
    </row>
    <row r="108" spans="1:35" ht="18.75" customHeight="1">
      <c r="A108" s="138"/>
      <c r="B108" s="138"/>
      <c r="C108" s="138"/>
      <c r="D108" s="138"/>
      <c r="E108" s="3214"/>
      <c r="F108" s="3184"/>
      <c r="G108" s="2514" t="s">
        <v>2252</v>
      </c>
      <c r="H108" s="371" t="e">
        <f>ROUND(H107*10000/'数据-汇总表'!E3,0)</f>
        <v>#VALUE!</v>
      </c>
      <c r="I108" s="138"/>
    </row>
    <row r="109" spans="1:35" ht="18.75" customHeight="1">
      <c r="A109" s="138"/>
      <c r="B109" s="138"/>
      <c r="C109" s="138"/>
      <c r="D109" s="138"/>
      <c r="E109" s="3214" t="str">
        <f>IF(项目基本情况!E8="已注销及未注销","4.抵押担保权已注销时的房地产抵押价值",IF(项目基本情况!E8="已注销","3.抵押担保权已注销时的房地产抵押价值","——"))</f>
        <v>3.抵押担保权已注销时的房地产抵押价值</v>
      </c>
      <c r="F109" s="3184"/>
      <c r="G109" s="2514" t="s">
        <v>2250</v>
      </c>
      <c r="H109" s="348">
        <f ca="1">IF(E109="——","——",H101-H105-H106)</f>
        <v>8616</v>
      </c>
      <c r="I109" s="138"/>
    </row>
    <row r="110" spans="1:35" ht="18.75" customHeight="1">
      <c r="A110" s="138"/>
      <c r="B110" s="138"/>
      <c r="C110" s="138"/>
      <c r="D110" s="138"/>
      <c r="E110" s="3214"/>
      <c r="F110" s="3184"/>
      <c r="G110" s="2514" t="s">
        <v>2252</v>
      </c>
      <c r="H110" s="371">
        <f ca="1">IF(H109="——","——",ROUND(H109*10000/'数据-汇总表'!E3,0))</f>
        <v>4048</v>
      </c>
      <c r="I110" s="138"/>
    </row>
    <row r="111" spans="1:35" ht="18.75" customHeight="1">
      <c r="A111" s="138"/>
      <c r="B111" s="138"/>
      <c r="C111" s="138"/>
      <c r="D111" s="138"/>
      <c r="E111" s="3215" t="str">
        <f>IF(项目基本情况!E9="抵押净值",IF(OR(项目基本情况!E8="已注销",项目基本情况!E8="房地产抵押价值"),"4.抵押净值","5.抵押净值"),"——")</f>
        <v>——</v>
      </c>
      <c r="F111" s="3216"/>
      <c r="G111" s="2514" t="s">
        <v>2250</v>
      </c>
      <c r="H111" s="1041" t="str">
        <f>IF(E111="——","——",N59)</f>
        <v>——</v>
      </c>
      <c r="I111" s="138"/>
    </row>
    <row r="112" spans="1:35" ht="18.75" customHeight="1" thickBot="1">
      <c r="A112" s="138"/>
      <c r="B112" s="138"/>
      <c r="C112" s="138"/>
      <c r="D112" s="138"/>
      <c r="E112" s="3217"/>
      <c r="F112" s="3218"/>
      <c r="G112" s="2519" t="s">
        <v>2252</v>
      </c>
      <c r="H112" s="790" t="str">
        <f>IF(E111="——","——",N61)</f>
        <v>——</v>
      </c>
      <c r="I112" s="138"/>
    </row>
    <row r="113" spans="1:11" ht="18.75" customHeight="1">
      <c r="A113" s="138"/>
      <c r="B113" s="138"/>
      <c r="C113" s="138"/>
      <c r="D113" s="138"/>
      <c r="E113" s="3226" t="s">
        <v>2258</v>
      </c>
      <c r="F113" s="3226"/>
      <c r="G113" s="3226"/>
      <c r="H113" s="3226"/>
      <c r="I113" s="138"/>
    </row>
    <row r="114" spans="1:11" ht="3.75" customHeight="1">
      <c r="A114" s="2412"/>
      <c r="B114" s="2412"/>
      <c r="C114" s="2412"/>
      <c r="D114" s="2412"/>
      <c r="E114" s="2490"/>
      <c r="F114" s="2490"/>
      <c r="G114" s="2490"/>
      <c r="H114" s="2490"/>
      <c r="I114" s="2412"/>
    </row>
    <row r="115" spans="1:11" ht="18.75" customHeight="1">
      <c r="A115" s="3239" t="s">
        <v>2260</v>
      </c>
      <c r="B115" s="3240"/>
      <c r="C115" s="3240"/>
      <c r="D115" s="3240"/>
      <c r="E115" s="3240"/>
      <c r="F115" s="3240"/>
      <c r="G115" s="3240"/>
      <c r="H115" s="3240"/>
      <c r="I115" s="3241"/>
    </row>
    <row r="116" spans="1:11" ht="27" customHeight="1">
      <c r="A116" s="3146" t="s">
        <v>2261</v>
      </c>
      <c r="B116" s="3193" t="s">
        <v>2262</v>
      </c>
      <c r="C116" s="3193" t="s">
        <v>2263</v>
      </c>
      <c r="D116" s="3199" t="s">
        <v>2264</v>
      </c>
      <c r="E116" s="3200"/>
      <c r="F116" s="3235" t="s">
        <v>2265</v>
      </c>
      <c r="G116" s="3235"/>
      <c r="H116" s="3146" t="s">
        <v>2266</v>
      </c>
      <c r="I116" s="3146"/>
    </row>
    <row r="117" spans="1:11" ht="18.75" customHeight="1">
      <c r="A117" s="3146"/>
      <c r="B117" s="3194"/>
      <c r="C117" s="319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2404.44</v>
      </c>
      <c r="C118" s="2948">
        <f>M19</f>
        <v>246.21</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8616</v>
      </c>
      <c r="I118" s="2948">
        <f ca="1">ROUND(IF(D32="楼面单价",C32,H118*10000/B118),0)</f>
        <v>35834</v>
      </c>
    </row>
    <row r="119" spans="1:11" ht="18.75" customHeight="1">
      <c r="A119" s="3146" t="s">
        <v>2270</v>
      </c>
      <c r="B119" s="3146"/>
      <c r="C119" s="3146"/>
      <c r="D119" s="3195" t="e">
        <f ca="1">NUMBERSTRING(INT(D118*10000),2)&amp;"元整"</f>
        <v>#REF!</v>
      </c>
      <c r="E119" s="3196"/>
      <c r="F119" s="3195" t="e">
        <f ca="1">NUMBERSTRING(INT(F118*10000),2)&amp;"元整"</f>
        <v>#REF!</v>
      </c>
      <c r="G119" s="3196"/>
      <c r="H119" s="3195" t="str">
        <f ca="1">NUMBERSTRING(INT(H118*10000),2)&amp;"元整"</f>
        <v>捌仟陆佰壹拾陆万元整</v>
      </c>
      <c r="I119" s="3196"/>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7" t="str">
        <f>IF(D120=0,"故，本次评估不存在"&amp;A120,"故，本次评估"&amp;A120&amp;"为人民币"&amp;D120&amp;"万元整。")</f>
        <v>故，本次评估不存在估价师知悉的法定优先受偿款</v>
      </c>
    </row>
    <row r="121" spans="1:11" ht="18.75" customHeight="1">
      <c r="A121" s="3236" t="s">
        <v>2270</v>
      </c>
      <c r="B121" s="3237"/>
      <c r="C121" s="3238"/>
      <c r="D121" s="3195" t="str">
        <f>IF(D120=0,"零元整",NUMBERSTRING(INT(D120*10000),2)&amp;"元整")</f>
        <v>零元整</v>
      </c>
      <c r="E121" s="3197"/>
      <c r="F121" s="3197"/>
      <c r="G121" s="3197"/>
      <c r="H121" s="3197"/>
      <c r="I121" s="3196"/>
    </row>
    <row r="122" spans="1:11" ht="18.75" customHeight="1">
      <c r="A122" s="3201" t="str">
        <f>IF(项目基本情况!B9="房地产市场价值","",MID(E107,3,LEN(E107)-2))</f>
        <v/>
      </c>
      <c r="B122" s="3201"/>
      <c r="C122" s="3201"/>
      <c r="D122" s="3190" t="str">
        <f>H107</f>
        <v>——</v>
      </c>
      <c r="E122" s="3191"/>
      <c r="F122" s="3191"/>
      <c r="G122" s="3191"/>
      <c r="H122" s="3191"/>
      <c r="I122" s="3192"/>
    </row>
    <row r="123" spans="1:11" ht="18.75" customHeight="1">
      <c r="A123" s="3146" t="s">
        <v>2270</v>
      </c>
      <c r="B123" s="3146"/>
      <c r="C123" s="3146"/>
      <c r="D123" s="3195" t="e">
        <f>NUMBERSTRING(INT(D122*10000),2)&amp;"元整"</f>
        <v>#VALUE!</v>
      </c>
      <c r="E123" s="3197"/>
      <c r="F123" s="3197"/>
      <c r="G123" s="3197"/>
      <c r="H123" s="3197"/>
      <c r="I123" s="3196"/>
    </row>
    <row r="124" spans="1:11" ht="18.75" customHeight="1">
      <c r="A124" s="3201" t="str">
        <f>IF(项目基本情况!B9="房地产市场价值","",MID(E109,3,LEN(E109)-2))</f>
        <v>抵押担保权已注销时的房地产抵押价值</v>
      </c>
      <c r="B124" s="3201"/>
      <c r="C124" s="3201"/>
      <c r="D124" s="3190">
        <f ca="1">H109</f>
        <v>8616</v>
      </c>
      <c r="E124" s="3191"/>
      <c r="F124" s="3191"/>
      <c r="G124" s="3191"/>
      <c r="H124" s="3191"/>
      <c r="I124" s="3192"/>
    </row>
    <row r="125" spans="1:11" ht="18.75" customHeight="1">
      <c r="A125" s="3146" t="s">
        <v>2270</v>
      </c>
      <c r="B125" s="3146"/>
      <c r="C125" s="3146"/>
      <c r="D125" s="3195" t="str">
        <f ca="1">NUMBERSTRING(INT(D124*10000),2)&amp;"元整"</f>
        <v>捌仟陆佰壹拾陆万元整</v>
      </c>
      <c r="E125" s="3197"/>
      <c r="F125" s="3197"/>
      <c r="G125" s="3197"/>
      <c r="H125" s="3197"/>
      <c r="I125" s="3196"/>
    </row>
    <row r="126" spans="1:11" ht="18.75" customHeight="1">
      <c r="A126" s="3201" t="str">
        <f>IF(项目基本情况!B9="房地产市场价值","",MID(E111,3,LEN(E111)-2))</f>
        <v/>
      </c>
      <c r="B126" s="3201"/>
      <c r="C126" s="3201"/>
      <c r="D126" s="3190" t="str">
        <f>H111</f>
        <v>——</v>
      </c>
      <c r="E126" s="3191"/>
      <c r="F126" s="3191"/>
      <c r="G126" s="3191"/>
      <c r="H126" s="3191"/>
      <c r="I126" s="3192"/>
    </row>
    <row r="127" spans="1:11" ht="18.75" customHeight="1">
      <c r="A127" s="3146" t="s">
        <v>2270</v>
      </c>
      <c r="B127" s="3146"/>
      <c r="C127" s="3146"/>
      <c r="D127" s="3195" t="e">
        <f>NUMBERSTRING(INT(D126*10000),2)&amp;"元整"</f>
        <v>#VALUE!</v>
      </c>
      <c r="E127" s="3197"/>
      <c r="F127" s="3197"/>
      <c r="G127" s="3197"/>
      <c r="H127" s="3197"/>
      <c r="I127" s="3196"/>
    </row>
    <row r="128" spans="1:11" ht="21.75" customHeight="1">
      <c r="A128" s="3198" t="s">
        <v>2271</v>
      </c>
      <c r="B128" s="3198"/>
      <c r="C128" s="3198"/>
      <c r="D128" s="3198"/>
      <c r="E128" s="3198"/>
      <c r="F128" s="3198"/>
      <c r="G128" s="3198"/>
      <c r="H128" s="3198"/>
      <c r="I128" s="319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6" sqref="L6"/>
    </sheetView>
  </sheetViews>
  <sheetFormatPr defaultColWidth="9" defaultRowHeight="14.25"/>
  <cols>
    <col min="1" max="1" width="10.5" style="403" customWidth="1"/>
    <col min="2" max="2" width="15.75" style="403" customWidth="1"/>
    <col min="3" max="3" width="20"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2595</v>
      </c>
      <c r="C1" s="1629" t="s">
        <v>2483</v>
      </c>
      <c r="D1" s="1616" t="s">
        <v>3039</v>
      </c>
      <c r="E1" s="2653"/>
      <c r="F1" s="2580" t="s">
        <v>3073</v>
      </c>
      <c r="G1" s="1626" t="s">
        <v>2596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8" customFormat="1" ht="28.5" customHeight="1" thickTop="1">
      <c r="A2" s="1612" t="s">
        <v>2280</v>
      </c>
      <c r="B2" s="1414">
        <f>IF(C2="——",ROUND(C49*D3/10000,0),ROUND(C49*D3/10000,0)-D2)</f>
        <v>11933</v>
      </c>
      <c r="C2" s="2582" t="s">
        <v>70</v>
      </c>
      <c r="D2" s="1361" t="e">
        <f ca="1">SUMIF(INDIRECT("'"&amp;F2&amp;"'"&amp;"!A:A"),"承租人权益价值",INDIRECT("'"&amp;F2&amp;"'"&amp;"!c:c"))</f>
        <v>#REF!</v>
      </c>
      <c r="E2" s="2583" t="s">
        <v>2281</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2282</v>
      </c>
      <c r="B3" s="609">
        <f>IF(C2="——",C49,ROUND(B2*10000/D3,0))</f>
        <v>49628</v>
      </c>
      <c r="C3" s="400" t="s">
        <v>2597</v>
      </c>
      <c r="D3" s="399">
        <f>IF(D1="",'数据-汇总表'!E3,SUMIF('数据-汇总表'!$C19:$C33,D1,'数据-汇总表'!$E19:$E33))</f>
        <v>2404.44</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29" t="s">
        <v>2601</v>
      </c>
      <c r="AC4" s="3299" t="s">
        <v>2602</v>
      </c>
    </row>
    <row r="5" spans="1:29" ht="15">
      <c r="A5" s="404"/>
      <c r="B5" s="405"/>
      <c r="C5" s="3373" t="s">
        <v>3353</v>
      </c>
      <c r="D5" s="3311"/>
      <c r="E5" s="3372" t="s">
        <v>3382</v>
      </c>
      <c r="F5" s="3309"/>
      <c r="G5" s="3372" t="s">
        <v>3438</v>
      </c>
      <c r="H5" s="3309"/>
      <c r="I5" s="3372" t="s">
        <v>3439</v>
      </c>
      <c r="J5" s="3309"/>
      <c r="K5" s="610"/>
      <c r="L5" s="1126"/>
      <c r="M5" s="1127"/>
      <c r="N5" s="1127"/>
      <c r="O5" s="1127"/>
      <c r="P5" s="3323"/>
      <c r="Q5" s="3324"/>
      <c r="R5" s="3306"/>
      <c r="S5" s="3307"/>
      <c r="T5" s="3306"/>
      <c r="U5" s="3307"/>
      <c r="V5" s="3329"/>
      <c r="W5" s="3329"/>
      <c r="X5" s="1808"/>
      <c r="Y5" s="3306"/>
      <c r="Z5" s="3307"/>
      <c r="AA5" s="3300"/>
      <c r="AB5" s="3329"/>
      <c r="AC5" s="3300"/>
    </row>
    <row r="6" spans="1:29" ht="15.75" thickBot="1">
      <c r="A6" s="406"/>
      <c r="B6" s="407"/>
      <c r="C6" s="3312" t="s">
        <v>2499</v>
      </c>
      <c r="D6" s="3313"/>
      <c r="E6" s="3314" t="s">
        <v>2499</v>
      </c>
      <c r="F6" s="3315"/>
      <c r="G6" s="3312" t="s">
        <v>2499</v>
      </c>
      <c r="H6" s="3313"/>
      <c r="I6" s="3312" t="s">
        <v>2499</v>
      </c>
      <c r="J6" s="3313"/>
      <c r="K6" s="610" t="s">
        <v>2500</v>
      </c>
      <c r="L6" s="1126"/>
      <c r="M6" s="1127"/>
      <c r="N6" s="1127"/>
      <c r="O6" s="1127"/>
      <c r="P6" s="3325"/>
      <c r="Q6" s="3326"/>
      <c r="R6" s="3306"/>
      <c r="S6" s="3307"/>
      <c r="T6" s="3327"/>
      <c r="U6" s="3328"/>
      <c r="V6" s="3329"/>
      <c r="W6" s="3329"/>
      <c r="X6" s="1808"/>
      <c r="Y6" s="3327"/>
      <c r="Z6" s="3328"/>
      <c r="AA6" s="3301"/>
      <c r="AB6" s="3329"/>
      <c r="AC6" s="3301"/>
    </row>
    <row r="7" spans="1:29" s="117" customFormat="1" ht="15.75" thickBot="1">
      <c r="A7" s="408" t="s">
        <v>2501</v>
      </c>
      <c r="B7" s="409"/>
      <c r="C7" s="410">
        <f>'数据-取费表'!B2</f>
        <v>43795</v>
      </c>
      <c r="D7" s="411">
        <v>100</v>
      </c>
      <c r="E7" s="412">
        <v>43795</v>
      </c>
      <c r="F7" s="413">
        <f>SUMIF(58:58,YEAR(E7)&amp;"-"&amp;MONTH(E7),59:59)</f>
        <v>100</v>
      </c>
      <c r="G7" s="412">
        <v>43795</v>
      </c>
      <c r="H7" s="411">
        <f>SUMIF(58:58,YEAR(G7)&amp;"-"&amp;MONTH(G7),59:59)</f>
        <v>100</v>
      </c>
      <c r="I7" s="412">
        <v>43795</v>
      </c>
      <c r="J7" s="411">
        <f>SUMIF(58:58,YEAR(I7)&amp;"-"&amp;MONTH(I7),59:59)</f>
        <v>100</v>
      </c>
      <c r="K7" s="611"/>
      <c r="L7" s="1128"/>
      <c r="M7" s="1129"/>
      <c r="N7" s="1129"/>
      <c r="O7" s="1129"/>
      <c r="P7" s="3302" t="s">
        <v>2502</v>
      </c>
      <c r="Q7" s="3330"/>
      <c r="R7" s="770" t="s">
        <v>17</v>
      </c>
      <c r="S7" s="771">
        <f t="shared" ref="S7:S15" si="0">F7</f>
        <v>100</v>
      </c>
      <c r="T7" s="770" t="s">
        <v>17</v>
      </c>
      <c r="U7" s="771">
        <f t="shared" ref="U7:U15" si="1">H7</f>
        <v>100</v>
      </c>
      <c r="V7" s="770" t="s">
        <v>17</v>
      </c>
      <c r="W7" s="771">
        <f t="shared" ref="W7:W15" si="2">J7</f>
        <v>100</v>
      </c>
      <c r="X7" s="772"/>
      <c r="Y7" s="3302" t="s">
        <v>2502</v>
      </c>
      <c r="Z7" s="3303"/>
      <c r="AA7" s="773">
        <f>D7/F7</f>
        <v>1</v>
      </c>
      <c r="AB7" s="773">
        <f>D7/H7</f>
        <v>1</v>
      </c>
      <c r="AC7" s="773">
        <f>D7/J7</f>
        <v>1</v>
      </c>
    </row>
    <row r="8" spans="1:29" s="117" customFormat="1" ht="15.75" thickBot="1">
      <c r="A8" s="408" t="s">
        <v>2503</v>
      </c>
      <c r="B8" s="409"/>
      <c r="C8" s="414" t="s">
        <v>2605</v>
      </c>
      <c r="D8" s="411">
        <v>100</v>
      </c>
      <c r="E8" s="414" t="s">
        <v>3069</v>
      </c>
      <c r="F8" s="413">
        <f>SUMIF(61:61,E8,62:62)-SUMIF(61:61,C8,62:62)+100</f>
        <v>100</v>
      </c>
      <c r="G8" s="414" t="s">
        <v>3069</v>
      </c>
      <c r="H8" s="411">
        <f>SUMIF(61:61,G8,62:62)-SUMIF(61:61,C8,62:62)+100</f>
        <v>100</v>
      </c>
      <c r="I8" s="414" t="s">
        <v>3069</v>
      </c>
      <c r="J8" s="411">
        <f>SUMIF(61:61,I8,62:62)-SUMIF(61:61,C8,62:62)+100</f>
        <v>100</v>
      </c>
      <c r="K8" s="611"/>
      <c r="L8" s="1128"/>
      <c r="M8" s="1129"/>
      <c r="N8" s="1129"/>
      <c r="O8" s="1129"/>
      <c r="P8" s="3302" t="s">
        <v>2505</v>
      </c>
      <c r="Q8" s="3303"/>
      <c r="R8" s="770" t="s">
        <v>17</v>
      </c>
      <c r="S8" s="771">
        <f t="shared" si="0"/>
        <v>100</v>
      </c>
      <c r="T8" s="770" t="s">
        <v>17</v>
      </c>
      <c r="U8" s="771">
        <f t="shared" si="1"/>
        <v>100</v>
      </c>
      <c r="V8" s="770" t="s">
        <v>17</v>
      </c>
      <c r="W8" s="771">
        <f t="shared" si="2"/>
        <v>100</v>
      </c>
      <c r="X8" s="772"/>
      <c r="Y8" s="3302" t="s">
        <v>2505</v>
      </c>
      <c r="Z8" s="3303"/>
      <c r="AA8" s="773">
        <f t="shared" ref="AA8:AA46" si="3">D8/F8</f>
        <v>1</v>
      </c>
      <c r="AB8" s="773">
        <f t="shared" ref="AB8:AB46" si="4">D8/H8</f>
        <v>1</v>
      </c>
      <c r="AC8" s="773">
        <f t="shared" ref="AC8:AC46" si="5">D8/J8</f>
        <v>1</v>
      </c>
    </row>
    <row r="9" spans="1:29" s="117" customFormat="1">
      <c r="A9" s="415" t="s">
        <v>2506</v>
      </c>
      <c r="B9" s="71" t="s">
        <v>2507</v>
      </c>
      <c r="C9" s="2972" t="s">
        <v>3096</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316" t="s">
        <v>2508</v>
      </c>
      <c r="Q9" s="1790" t="str">
        <f t="shared" ref="Q9:Q15" si="6">B9</f>
        <v>用途</v>
      </c>
      <c r="R9" s="770" t="s">
        <v>17</v>
      </c>
      <c r="S9" s="771">
        <f t="shared" si="0"/>
        <v>100</v>
      </c>
      <c r="T9" s="770" t="s">
        <v>17</v>
      </c>
      <c r="U9" s="771">
        <f t="shared" si="1"/>
        <v>100</v>
      </c>
      <c r="V9" s="770" t="s">
        <v>17</v>
      </c>
      <c r="W9" s="771">
        <f t="shared" si="2"/>
        <v>100</v>
      </c>
      <c r="X9" s="772"/>
      <c r="Y9" s="3146" t="s">
        <v>2509</v>
      </c>
      <c r="Z9" s="55" t="str">
        <f t="shared" ref="Z9:Z15" si="7">Q9</f>
        <v>用途</v>
      </c>
      <c r="AA9" s="773">
        <f t="shared" si="3"/>
        <v>1</v>
      </c>
      <c r="AB9" s="773">
        <f t="shared" si="4"/>
        <v>1</v>
      </c>
      <c r="AC9" s="773">
        <f t="shared" si="5"/>
        <v>1</v>
      </c>
    </row>
    <row r="10" spans="1:29" s="427" customFormat="1" ht="27">
      <c r="A10" s="421"/>
      <c r="B10" s="422" t="s">
        <v>2510</v>
      </c>
      <c r="C10" s="423" t="s">
        <v>3364</v>
      </c>
      <c r="D10" s="136">
        <v>100</v>
      </c>
      <c r="E10" s="423" t="s">
        <v>3436</v>
      </c>
      <c r="F10" s="425">
        <f>SUMIF(65:65,E10,66:66)-SUMIF(65:65,C10,66:66)+100</f>
        <v>102</v>
      </c>
      <c r="G10" s="423" t="s">
        <v>3436</v>
      </c>
      <c r="H10" s="136">
        <f>SUMIF(65:65,G10,66:66)-SUMIF(65:65,C10,66:66)+100</f>
        <v>102</v>
      </c>
      <c r="I10" s="423" t="s">
        <v>3436</v>
      </c>
      <c r="J10" s="136">
        <f>SUMIF(65:65,I10,66:66)-SUMIF(65:65,C10,66:66)+100</f>
        <v>102</v>
      </c>
      <c r="K10" s="612">
        <v>1</v>
      </c>
      <c r="L10" s="1131"/>
      <c r="M10" s="1132"/>
      <c r="N10" s="1132"/>
      <c r="O10" s="1132"/>
      <c r="P10" s="3316"/>
      <c r="Q10" s="1790" t="str">
        <f t="shared" si="6"/>
        <v>土地使用年限（年）</v>
      </c>
      <c r="R10" s="770" t="s">
        <v>17</v>
      </c>
      <c r="S10" s="771">
        <f t="shared" si="0"/>
        <v>102</v>
      </c>
      <c r="T10" s="770" t="s">
        <v>17</v>
      </c>
      <c r="U10" s="771">
        <f t="shared" si="1"/>
        <v>102</v>
      </c>
      <c r="V10" s="770" t="s">
        <v>17</v>
      </c>
      <c r="W10" s="771">
        <f t="shared" si="2"/>
        <v>102</v>
      </c>
      <c r="X10" s="772"/>
      <c r="Y10" s="3146"/>
      <c r="Z10" s="55" t="str">
        <f t="shared" si="7"/>
        <v>土地使用年限（年）</v>
      </c>
      <c r="AA10" s="773">
        <f t="shared" si="3"/>
        <v>0.98039215686274506</v>
      </c>
      <c r="AB10" s="773">
        <f t="shared" si="4"/>
        <v>0.98039215686274506</v>
      </c>
      <c r="AC10" s="773">
        <f t="shared" si="5"/>
        <v>0.98039215686274506</v>
      </c>
    </row>
    <row r="11" spans="1:29" ht="15">
      <c r="A11" s="428"/>
      <c r="B11" s="422" t="s">
        <v>2511</v>
      </c>
      <c r="C11" s="429" t="s">
        <v>3082</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4"/>
      <c r="M11" s="1127"/>
      <c r="N11" s="1127"/>
      <c r="O11" s="1127"/>
      <c r="P11" s="3316"/>
      <c r="Q11" s="1790" t="str">
        <f t="shared" si="6"/>
        <v>容积率</v>
      </c>
      <c r="R11" s="770" t="s">
        <v>17</v>
      </c>
      <c r="S11" s="771">
        <f t="shared" si="0"/>
        <v>100</v>
      </c>
      <c r="T11" s="770" t="s">
        <v>17</v>
      </c>
      <c r="U11" s="771">
        <f t="shared" si="1"/>
        <v>100</v>
      </c>
      <c r="V11" s="770" t="s">
        <v>17</v>
      </c>
      <c r="W11" s="771">
        <f t="shared" si="2"/>
        <v>100</v>
      </c>
      <c r="X11" s="772"/>
      <c r="Y11" s="3146"/>
      <c r="Z11" s="55" t="str">
        <f t="shared" si="7"/>
        <v>容积率</v>
      </c>
      <c r="AA11" s="773">
        <f t="shared" si="3"/>
        <v>1</v>
      </c>
      <c r="AB11" s="773">
        <f t="shared" si="4"/>
        <v>1</v>
      </c>
      <c r="AC11" s="773">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16"/>
      <c r="Q12" s="1790">
        <f t="shared" si="6"/>
        <v>0</v>
      </c>
      <c r="R12" s="770" t="s">
        <v>17</v>
      </c>
      <c r="S12" s="771">
        <f t="shared" si="0"/>
        <v>100</v>
      </c>
      <c r="T12" s="770" t="s">
        <v>17</v>
      </c>
      <c r="U12" s="771">
        <f t="shared" si="1"/>
        <v>100</v>
      </c>
      <c r="V12" s="770" t="s">
        <v>17</v>
      </c>
      <c r="W12" s="771">
        <f t="shared" si="2"/>
        <v>100</v>
      </c>
      <c r="X12" s="772"/>
      <c r="Y12" s="3146"/>
      <c r="Z12" s="55">
        <f t="shared" si="7"/>
        <v>0</v>
      </c>
      <c r="AA12" s="773">
        <f>D12/F12</f>
        <v>1</v>
      </c>
      <c r="AB12" s="773">
        <f>D12/H12</f>
        <v>1</v>
      </c>
      <c r="AC12" s="773">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16"/>
      <c r="Q13" s="1790">
        <f t="shared" si="6"/>
        <v>0</v>
      </c>
      <c r="R13" s="770" t="s">
        <v>17</v>
      </c>
      <c r="S13" s="771">
        <f t="shared" si="0"/>
        <v>100</v>
      </c>
      <c r="T13" s="770" t="s">
        <v>17</v>
      </c>
      <c r="U13" s="771">
        <f t="shared" si="1"/>
        <v>100</v>
      </c>
      <c r="V13" s="770" t="s">
        <v>17</v>
      </c>
      <c r="W13" s="771">
        <f t="shared" si="2"/>
        <v>100</v>
      </c>
      <c r="X13" s="772"/>
      <c r="Y13" s="3146"/>
      <c r="Z13" s="55">
        <f t="shared" si="7"/>
        <v>0</v>
      </c>
      <c r="AA13" s="773">
        <f t="shared" si="3"/>
        <v>1</v>
      </c>
      <c r="AB13" s="773">
        <f t="shared" si="4"/>
        <v>1</v>
      </c>
      <c r="AC13" s="773">
        <f t="shared" si="5"/>
        <v>1</v>
      </c>
    </row>
    <row r="14" spans="1:29" ht="15.75"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16"/>
      <c r="Q14" s="1790">
        <f t="shared" si="6"/>
        <v>0</v>
      </c>
      <c r="R14" s="770" t="s">
        <v>17</v>
      </c>
      <c r="S14" s="771">
        <f t="shared" si="0"/>
        <v>100</v>
      </c>
      <c r="T14" s="770" t="s">
        <v>17</v>
      </c>
      <c r="U14" s="771">
        <f t="shared" si="1"/>
        <v>100</v>
      </c>
      <c r="V14" s="770" t="s">
        <v>17</v>
      </c>
      <c r="W14" s="771">
        <f t="shared" si="2"/>
        <v>100</v>
      </c>
      <c r="X14" s="772"/>
      <c r="Y14" s="3146"/>
      <c r="Z14" s="55">
        <f t="shared" si="7"/>
        <v>0</v>
      </c>
      <c r="AA14" s="773">
        <f t="shared" si="3"/>
        <v>1</v>
      </c>
      <c r="AB14" s="773">
        <f t="shared" si="4"/>
        <v>1</v>
      </c>
      <c r="AC14" s="773">
        <f t="shared" si="5"/>
        <v>1</v>
      </c>
    </row>
    <row r="15" spans="1:29" ht="57">
      <c r="A15" s="440" t="s">
        <v>2512</v>
      </c>
      <c r="B15" s="69" t="s">
        <v>2606</v>
      </c>
      <c r="C15" s="2599" t="str">
        <f>估价对象房地状况!C4</f>
        <v>估价对象位于亮马桥路南侧，周边商业氛围成熟一般，人流量一般，商业繁华度一般</v>
      </c>
      <c r="D15" s="441">
        <v>100</v>
      </c>
      <c r="E15" s="3072" t="s">
        <v>3380</v>
      </c>
      <c r="F15" s="443">
        <f>SUMIF(76:76,E16,77:77)-SUMIF(76:76,C16,77:77)+100</f>
        <v>100</v>
      </c>
      <c r="G15" s="3072" t="s">
        <v>3380</v>
      </c>
      <c r="H15" s="441">
        <f>SUMIF(76:76,G16,77:77)-SUMIF(76:76,C16,77:77)+100</f>
        <v>100</v>
      </c>
      <c r="I15" s="3072" t="s">
        <v>3380</v>
      </c>
      <c r="J15" s="441">
        <f>SUMIF(76:76,I16,77:77)-SUMIF(76:76,C16,77:77)+100</f>
        <v>100</v>
      </c>
      <c r="K15" s="614">
        <v>2</v>
      </c>
      <c r="L15" s="1136"/>
      <c r="M15" s="1127"/>
      <c r="N15" s="1127"/>
      <c r="O15" s="1127"/>
      <c r="P15" s="3343" t="s">
        <v>2513</v>
      </c>
      <c r="Q15" s="1805" t="str">
        <f t="shared" si="6"/>
        <v>商业繁华度</v>
      </c>
      <c r="R15" s="774" t="s">
        <v>17</v>
      </c>
      <c r="S15" s="775">
        <f t="shared" si="0"/>
        <v>100</v>
      </c>
      <c r="T15" s="774" t="s">
        <v>17</v>
      </c>
      <c r="U15" s="775">
        <f t="shared" si="1"/>
        <v>100</v>
      </c>
      <c r="V15" s="774" t="s">
        <v>17</v>
      </c>
      <c r="W15" s="775">
        <f t="shared" si="2"/>
        <v>100</v>
      </c>
      <c r="X15" s="1808"/>
      <c r="Y15" s="3336" t="s">
        <v>2513</v>
      </c>
      <c r="Z15" s="1809" t="str">
        <f t="shared" si="7"/>
        <v>商业繁华度</v>
      </c>
      <c r="AA15" s="1806">
        <f t="shared" si="3"/>
        <v>1</v>
      </c>
      <c r="AB15" s="1806">
        <f t="shared" si="4"/>
        <v>1</v>
      </c>
      <c r="AC15" s="1806">
        <f t="shared" si="5"/>
        <v>1</v>
      </c>
    </row>
    <row r="16" spans="1:29" ht="15">
      <c r="A16" s="428"/>
      <c r="B16" s="446"/>
      <c r="C16" s="447" t="s">
        <v>3363</v>
      </c>
      <c r="D16" s="448"/>
      <c r="E16" s="447" t="s">
        <v>3363</v>
      </c>
      <c r="F16" s="449"/>
      <c r="G16" s="447" t="s">
        <v>3363</v>
      </c>
      <c r="H16" s="450"/>
      <c r="I16" s="447" t="s">
        <v>3363</v>
      </c>
      <c r="J16" s="448"/>
      <c r="K16" s="615"/>
      <c r="L16" s="1136"/>
      <c r="M16" s="1127"/>
      <c r="N16" s="1127"/>
      <c r="O16" s="1127"/>
      <c r="P16" s="3344"/>
      <c r="Q16" s="1805"/>
      <c r="R16" s="774"/>
      <c r="S16" s="775"/>
      <c r="T16" s="774"/>
      <c r="U16" s="775"/>
      <c r="V16" s="774"/>
      <c r="W16" s="775"/>
      <c r="X16" s="1808"/>
      <c r="Y16" s="3337"/>
      <c r="Z16" s="1809"/>
      <c r="AA16" s="1806">
        <v>1</v>
      </c>
      <c r="AB16" s="1806">
        <v>1</v>
      </c>
      <c r="AC16" s="1806">
        <v>1</v>
      </c>
    </row>
    <row r="17" spans="1:29" ht="114">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2" t="s">
        <v>3070</v>
      </c>
      <c r="F17" s="453">
        <f>SUMIF(78:78,E18,79:79)-SUMIF(78:78,C18,79:79)+100</f>
        <v>100</v>
      </c>
      <c r="G17" s="452" t="s">
        <v>3070</v>
      </c>
      <c r="H17" s="455">
        <f>SUMIF(78:78,G18,79:79)-SUMIF(78:78,C18,79:79)+100</f>
        <v>100</v>
      </c>
      <c r="I17" s="452" t="s">
        <v>3070</v>
      </c>
      <c r="J17" s="455">
        <f>SUMIF(78:78,I18,79:79)-SUMIF(78:78,C18,79:79)+100</f>
        <v>100</v>
      </c>
      <c r="K17" s="614">
        <v>1</v>
      </c>
      <c r="L17" s="1136"/>
      <c r="M17" s="1127"/>
      <c r="N17" s="1127"/>
      <c r="O17" s="1127"/>
      <c r="P17" s="3344"/>
      <c r="Q17" s="1805" t="str">
        <f>B17</f>
        <v>交通便捷度</v>
      </c>
      <c r="R17" s="774" t="s">
        <v>17</v>
      </c>
      <c r="S17" s="775">
        <f>F17</f>
        <v>100</v>
      </c>
      <c r="T17" s="774" t="s">
        <v>17</v>
      </c>
      <c r="U17" s="775">
        <f>H17</f>
        <v>100</v>
      </c>
      <c r="V17" s="774" t="s">
        <v>17</v>
      </c>
      <c r="W17" s="775">
        <f>J17</f>
        <v>100</v>
      </c>
      <c r="X17" s="1808"/>
      <c r="Y17" s="3337"/>
      <c r="Z17" s="1809" t="str">
        <f>Q17</f>
        <v>交通便捷度</v>
      </c>
      <c r="AA17" s="1806">
        <f t="shared" si="3"/>
        <v>1</v>
      </c>
      <c r="AB17" s="1806">
        <f t="shared" si="4"/>
        <v>1</v>
      </c>
      <c r="AC17" s="1806">
        <f t="shared" si="5"/>
        <v>1</v>
      </c>
    </row>
    <row r="18" spans="1:29" ht="15">
      <c r="A18" s="428"/>
      <c r="B18" s="456"/>
      <c r="C18" s="2604" t="s">
        <v>3065</v>
      </c>
      <c r="D18" s="450"/>
      <c r="E18" s="2606" t="s">
        <v>3065</v>
      </c>
      <c r="F18" s="453"/>
      <c r="G18" s="2606" t="s">
        <v>3065</v>
      </c>
      <c r="H18" s="448"/>
      <c r="I18" s="2606" t="s">
        <v>3065</v>
      </c>
      <c r="J18" s="448"/>
      <c r="K18" s="615"/>
      <c r="L18" s="1136"/>
      <c r="M18" s="1127"/>
      <c r="N18" s="1127"/>
      <c r="O18" s="1127"/>
      <c r="P18" s="3344"/>
      <c r="Q18" s="1805"/>
      <c r="R18" s="774"/>
      <c r="S18" s="775"/>
      <c r="T18" s="774"/>
      <c r="U18" s="775"/>
      <c r="V18" s="774"/>
      <c r="W18" s="775"/>
      <c r="X18" s="1808"/>
      <c r="Y18" s="3337"/>
      <c r="Z18" s="1809"/>
      <c r="AA18" s="1806">
        <v>1</v>
      </c>
      <c r="AB18" s="1806">
        <v>1</v>
      </c>
      <c r="AC18" s="1806">
        <v>1</v>
      </c>
    </row>
    <row r="19" spans="1:29" ht="42.75">
      <c r="A19" s="428"/>
      <c r="B19" s="451" t="s">
        <v>2607</v>
      </c>
      <c r="C19" s="2603" t="str">
        <f>估价对象房地状况!C7</f>
        <v>估价对象所在区域公共配套设施齐备情况较好</v>
      </c>
      <c r="D19" s="455">
        <v>100</v>
      </c>
      <c r="E19" s="457" t="s">
        <v>3071</v>
      </c>
      <c r="F19" s="458">
        <f>SUMIF(80:80,E20,81:81)-SUMIF(80:80,C20,81:81)+100</f>
        <v>100</v>
      </c>
      <c r="G19" s="457" t="s">
        <v>3071</v>
      </c>
      <c r="H19" s="450">
        <f>SUMIF(80:80,G20,81:81)-SUMIF(80:80,C20,81:81)+100</f>
        <v>100</v>
      </c>
      <c r="I19" s="457" t="s">
        <v>3071</v>
      </c>
      <c r="J19" s="450">
        <f>SUMIF(80:80,I20,81:81)-SUMIF(80:80,C20,81:81)+100</f>
        <v>100</v>
      </c>
      <c r="K19" s="614">
        <v>1</v>
      </c>
      <c r="L19" s="1136"/>
      <c r="M19" s="1127"/>
      <c r="N19" s="1127"/>
      <c r="O19" s="1127"/>
      <c r="P19" s="3344"/>
      <c r="Q19" s="1805" t="str">
        <f>B19</f>
        <v>公共配套设施</v>
      </c>
      <c r="R19" s="774" t="s">
        <v>17</v>
      </c>
      <c r="S19" s="775">
        <f>F19</f>
        <v>100</v>
      </c>
      <c r="T19" s="774" t="s">
        <v>17</v>
      </c>
      <c r="U19" s="775">
        <f>H19</f>
        <v>100</v>
      </c>
      <c r="V19" s="774" t="s">
        <v>17</v>
      </c>
      <c r="W19" s="775">
        <f>J19</f>
        <v>100</v>
      </c>
      <c r="X19" s="1808"/>
      <c r="Y19" s="3337"/>
      <c r="Z19" s="1809" t="str">
        <f>Q19</f>
        <v>公共配套设施</v>
      </c>
      <c r="AA19" s="1806">
        <f t="shared" si="3"/>
        <v>1</v>
      </c>
      <c r="AB19" s="1806">
        <f t="shared" si="4"/>
        <v>1</v>
      </c>
      <c r="AC19" s="1806">
        <f t="shared" si="5"/>
        <v>1</v>
      </c>
    </row>
    <row r="20" spans="1:29" ht="15">
      <c r="A20" s="428"/>
      <c r="B20" s="456"/>
      <c r="C20" s="447" t="s">
        <v>3065</v>
      </c>
      <c r="D20" s="448"/>
      <c r="E20" s="2601" t="s">
        <v>3065</v>
      </c>
      <c r="F20" s="449"/>
      <c r="G20" s="2601" t="s">
        <v>3065</v>
      </c>
      <c r="H20" s="448"/>
      <c r="I20" s="2601" t="s">
        <v>3065</v>
      </c>
      <c r="J20" s="448"/>
      <c r="K20" s="615"/>
      <c r="L20" s="1136"/>
      <c r="M20" s="1127"/>
      <c r="N20" s="1127"/>
      <c r="O20" s="1127"/>
      <c r="P20" s="3344"/>
      <c r="Q20" s="1805"/>
      <c r="R20" s="774"/>
      <c r="S20" s="775"/>
      <c r="T20" s="774"/>
      <c r="U20" s="775"/>
      <c r="V20" s="774"/>
      <c r="W20" s="775"/>
      <c r="X20" s="1808"/>
      <c r="Y20" s="3337"/>
      <c r="Z20" s="1809"/>
      <c r="AA20" s="1806">
        <v>1</v>
      </c>
      <c r="AB20" s="1806">
        <v>1</v>
      </c>
      <c r="AC20" s="1806">
        <v>1</v>
      </c>
    </row>
    <row r="21" spans="1:29" ht="28.5">
      <c r="A21" s="428"/>
      <c r="B21" s="1380" t="s">
        <v>2608</v>
      </c>
      <c r="C21" s="2603" t="str">
        <f>估价对象房地状况!C8</f>
        <v>估价对象所在区域基础设施水平较好</v>
      </c>
      <c r="D21" s="455">
        <v>100</v>
      </c>
      <c r="E21" s="457" t="s">
        <v>3072</v>
      </c>
      <c r="F21" s="458">
        <f>SUMIF(82:82,E22,83:83)-SUMIF(82:82,C22,83:83)+100</f>
        <v>100</v>
      </c>
      <c r="G21" s="457" t="s">
        <v>3072</v>
      </c>
      <c r="H21" s="450">
        <f>SUMIF(82:82,G22,83:83)-SUMIF(82:82,C22,83:83)+100</f>
        <v>100</v>
      </c>
      <c r="I21" s="457" t="s">
        <v>3072</v>
      </c>
      <c r="J21" s="450">
        <f>SUMIF(82:82,I22,83:83)-SUMIF(82:82,C22,83:83)+100</f>
        <v>100</v>
      </c>
      <c r="K21" s="614">
        <v>1</v>
      </c>
      <c r="L21" s="1136"/>
      <c r="M21" s="1127"/>
      <c r="N21" s="1127"/>
      <c r="O21" s="1127"/>
      <c r="P21" s="3344"/>
      <c r="Q21" s="1805" t="str">
        <f>B21</f>
        <v>基础设施水平</v>
      </c>
      <c r="R21" s="774" t="s">
        <v>17</v>
      </c>
      <c r="S21" s="775">
        <f>F21</f>
        <v>100</v>
      </c>
      <c r="T21" s="774" t="s">
        <v>17</v>
      </c>
      <c r="U21" s="775">
        <f>H21</f>
        <v>100</v>
      </c>
      <c r="V21" s="774" t="s">
        <v>17</v>
      </c>
      <c r="W21" s="775">
        <f>J21</f>
        <v>100</v>
      </c>
      <c r="X21" s="1808"/>
      <c r="Y21" s="3337"/>
      <c r="Z21" s="1809" t="str">
        <f>Q21</f>
        <v>基础设施水平</v>
      </c>
      <c r="AA21" s="1806">
        <f t="shared" ref="AA21" si="8">D21/F21</f>
        <v>1</v>
      </c>
      <c r="AB21" s="1806">
        <f t="shared" ref="AB21" si="9">D21/H21</f>
        <v>1</v>
      </c>
      <c r="AC21" s="1806">
        <f t="shared" ref="AC21" si="10">D21/J21</f>
        <v>1</v>
      </c>
    </row>
    <row r="22" spans="1:29" ht="15">
      <c r="A22" s="428"/>
      <c r="B22" s="1380"/>
      <c r="C22" s="2604" t="s">
        <v>3059</v>
      </c>
      <c r="D22" s="448"/>
      <c r="E22" s="447" t="s">
        <v>3059</v>
      </c>
      <c r="F22" s="449"/>
      <c r="G22" s="447" t="s">
        <v>3059</v>
      </c>
      <c r="H22" s="448"/>
      <c r="I22" s="447" t="s">
        <v>3059</v>
      </c>
      <c r="J22" s="448"/>
      <c r="K22" s="1379"/>
      <c r="L22" s="1136"/>
      <c r="M22" s="1127"/>
      <c r="N22" s="1127"/>
      <c r="O22" s="1127"/>
      <c r="P22" s="3344"/>
      <c r="Q22" s="1805"/>
      <c r="R22" s="774"/>
      <c r="S22" s="775"/>
      <c r="T22" s="774"/>
      <c r="U22" s="775"/>
      <c r="V22" s="774"/>
      <c r="W22" s="775"/>
      <c r="X22" s="1808"/>
      <c r="Y22" s="3337"/>
      <c r="Z22" s="1809"/>
      <c r="AA22" s="1806">
        <v>1</v>
      </c>
      <c r="AB22" s="1806">
        <v>1</v>
      </c>
      <c r="AC22" s="1806">
        <v>1</v>
      </c>
    </row>
    <row r="23" spans="1:29" ht="71.25">
      <c r="A23" s="428"/>
      <c r="B23" s="451" t="s">
        <v>2055</v>
      </c>
      <c r="C23" s="2660" t="str">
        <f>估价对象房地状况!C9</f>
        <v>区域自然环境好：周边临近朝阳公园；人文环境好：周边临近农业展览馆；综合评价环境状况好</v>
      </c>
      <c r="D23" s="450">
        <v>100</v>
      </c>
      <c r="E23" s="3068" t="s">
        <v>3381</v>
      </c>
      <c r="F23" s="453">
        <f>SUMIF(84:84,E24,85:85)-SUMIF(84:84,C24,85:85)+100</f>
        <v>100</v>
      </c>
      <c r="G23" s="3068" t="s">
        <v>3381</v>
      </c>
      <c r="H23" s="450">
        <f>SUMIF(84:84,G24,85:85)-SUMIF(84:84,C24,85:85)+100</f>
        <v>100</v>
      </c>
      <c r="I23" s="3068" t="s">
        <v>3381</v>
      </c>
      <c r="J23" s="450">
        <f>SUMIF(84:84,I24,85:85)-SUMIF(84:84,C24,85:85)+100</f>
        <v>100</v>
      </c>
      <c r="K23" s="614">
        <v>1</v>
      </c>
      <c r="L23" s="1136"/>
      <c r="M23" s="1127"/>
      <c r="N23" s="1127"/>
      <c r="O23" s="1127"/>
      <c r="P23" s="3344"/>
      <c r="Q23" s="1805" t="str">
        <f>B23</f>
        <v>自然及人文环境</v>
      </c>
      <c r="R23" s="774" t="s">
        <v>17</v>
      </c>
      <c r="S23" s="775">
        <f>F23</f>
        <v>100</v>
      </c>
      <c r="T23" s="774" t="s">
        <v>17</v>
      </c>
      <c r="U23" s="775">
        <f>H23</f>
        <v>100</v>
      </c>
      <c r="V23" s="774" t="s">
        <v>17</v>
      </c>
      <c r="W23" s="775">
        <f>J23</f>
        <v>100</v>
      </c>
      <c r="X23" s="1808"/>
      <c r="Y23" s="3337"/>
      <c r="Z23" s="1809" t="str">
        <f>Q23</f>
        <v>自然及人文环境</v>
      </c>
      <c r="AA23" s="1806">
        <f t="shared" si="3"/>
        <v>1</v>
      </c>
      <c r="AB23" s="1806">
        <f t="shared" si="4"/>
        <v>1</v>
      </c>
      <c r="AC23" s="1806">
        <f t="shared" si="5"/>
        <v>1</v>
      </c>
    </row>
    <row r="24" spans="1:29" ht="15">
      <c r="A24" s="428"/>
      <c r="B24" s="456"/>
      <c r="C24" s="447" t="s">
        <v>3360</v>
      </c>
      <c r="D24" s="448"/>
      <c r="E24" s="2601" t="s">
        <v>3360</v>
      </c>
      <c r="F24" s="449"/>
      <c r="G24" s="2601" t="s">
        <v>3360</v>
      </c>
      <c r="H24" s="448"/>
      <c r="I24" s="2601" t="s">
        <v>3360</v>
      </c>
      <c r="J24" s="448"/>
      <c r="K24" s="615"/>
      <c r="L24" s="1136"/>
      <c r="M24" s="1127"/>
      <c r="N24" s="1127"/>
      <c r="O24" s="1127"/>
      <c r="P24" s="3344"/>
      <c r="Q24" s="1805"/>
      <c r="R24" s="774"/>
      <c r="S24" s="775"/>
      <c r="T24" s="774"/>
      <c r="U24" s="775"/>
      <c r="V24" s="774"/>
      <c r="W24" s="775"/>
      <c r="X24" s="1808"/>
      <c r="Y24" s="3337"/>
      <c r="Z24" s="1809"/>
      <c r="AA24" s="1806">
        <v>1</v>
      </c>
      <c r="AB24" s="1806">
        <v>1</v>
      </c>
      <c r="AC24" s="1806">
        <v>1</v>
      </c>
    </row>
    <row r="25" spans="1:29" ht="15">
      <c r="A25" s="428"/>
      <c r="B25" s="422" t="s">
        <v>2609</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1</v>
      </c>
      <c r="L25" s="1136"/>
      <c r="M25" s="1127"/>
      <c r="N25" s="1127"/>
      <c r="O25" s="1127"/>
      <c r="P25" s="3344"/>
      <c r="Q25" s="1805" t="str">
        <f t="shared" ref="Q25:Q46" si="11">B25</f>
        <v>临街状况</v>
      </c>
      <c r="R25" s="774" t="s">
        <v>17</v>
      </c>
      <c r="S25" s="775">
        <f>F25</f>
        <v>100</v>
      </c>
      <c r="T25" s="774" t="s">
        <v>17</v>
      </c>
      <c r="U25" s="775">
        <f>H25</f>
        <v>100</v>
      </c>
      <c r="V25" s="774" t="s">
        <v>17</v>
      </c>
      <c r="W25" s="775">
        <f>J25</f>
        <v>100</v>
      </c>
      <c r="X25" s="1808"/>
      <c r="Y25" s="3337"/>
      <c r="Z25" s="1809" t="str">
        <f>Q25</f>
        <v>临街状况</v>
      </c>
      <c r="AA25" s="1806">
        <f t="shared" si="3"/>
        <v>1</v>
      </c>
      <c r="AB25" s="1806">
        <f t="shared" si="4"/>
        <v>1</v>
      </c>
      <c r="AC25" s="1806">
        <f t="shared" si="5"/>
        <v>1</v>
      </c>
    </row>
    <row r="26" spans="1:29" ht="15">
      <c r="A26" s="428"/>
      <c r="B26" s="1382" t="s">
        <v>2610</v>
      </c>
      <c r="C26" s="2976" t="s">
        <v>3083</v>
      </c>
      <c r="D26" s="435">
        <v>100</v>
      </c>
      <c r="E26" s="434" t="s">
        <v>3065</v>
      </c>
      <c r="F26" s="461">
        <f>SUMIF(88:88,E26,89:89)-SUMIF(88:88,C26,89:89)+100</f>
        <v>100</v>
      </c>
      <c r="G26" s="434" t="s">
        <v>3065</v>
      </c>
      <c r="H26" s="435">
        <f>SUMIF(88:88,G26,89:89)-SUMIF(88:88,C26,89:89)+100</f>
        <v>100</v>
      </c>
      <c r="I26" s="434" t="s">
        <v>3065</v>
      </c>
      <c r="J26" s="435">
        <f>SUMIF(88:88,I26,89:89)-SUMIF(88:88,C26,89:89)+100</f>
        <v>100</v>
      </c>
      <c r="K26" s="613"/>
      <c r="L26" s="1136"/>
      <c r="M26" s="1127"/>
      <c r="N26" s="1127"/>
      <c r="O26" s="1127"/>
      <c r="P26" s="3344"/>
      <c r="Q26" s="1805" t="str">
        <f t="shared" si="11"/>
        <v>平面位置/可视性</v>
      </c>
      <c r="R26" s="774" t="s">
        <v>17</v>
      </c>
      <c r="S26" s="775">
        <f>F26</f>
        <v>100</v>
      </c>
      <c r="T26" s="774" t="s">
        <v>17</v>
      </c>
      <c r="U26" s="775">
        <f>H26</f>
        <v>100</v>
      </c>
      <c r="V26" s="774" t="s">
        <v>17</v>
      </c>
      <c r="W26" s="775">
        <f>J26</f>
        <v>100</v>
      </c>
      <c r="X26" s="1808"/>
      <c r="Y26" s="3337"/>
      <c r="Z26" s="1809" t="str">
        <f>Q26</f>
        <v>平面位置/可视性</v>
      </c>
      <c r="AA26" s="1806">
        <f t="shared" si="3"/>
        <v>1</v>
      </c>
      <c r="AB26" s="1806">
        <f t="shared" si="4"/>
        <v>1</v>
      </c>
      <c r="AC26" s="1806">
        <f t="shared" si="5"/>
        <v>1</v>
      </c>
    </row>
    <row r="27" spans="1:29" s="117" customFormat="1" ht="15">
      <c r="A27" s="431"/>
      <c r="B27" s="451" t="s">
        <v>2611</v>
      </c>
      <c r="C27" s="2661" t="s">
        <v>3084</v>
      </c>
      <c r="D27" s="462">
        <v>100</v>
      </c>
      <c r="E27" s="2661" t="s">
        <v>3084</v>
      </c>
      <c r="F27" s="464">
        <f>SUMIF(90:90,E27,91:91)-SUMIF(90:90,C27,91:91)+100</f>
        <v>100</v>
      </c>
      <c r="G27" s="2661" t="s">
        <v>3084</v>
      </c>
      <c r="H27" s="462">
        <f>SUMIF(90:90,G27,91:91)-SUMIF(90:90,C27,91:91)+100</f>
        <v>100</v>
      </c>
      <c r="I27" s="2661" t="s">
        <v>3084</v>
      </c>
      <c r="J27" s="462">
        <f>SUMIF(90:90,I27,91:91)-SUMIF(90:90,C27,91:91)+100</f>
        <v>100</v>
      </c>
      <c r="K27" s="612">
        <v>1</v>
      </c>
      <c r="L27" s="1128"/>
      <c r="M27" s="1129"/>
      <c r="N27" s="1129"/>
      <c r="O27" s="1129"/>
      <c r="P27" s="3344"/>
      <c r="Q27" s="1790" t="str">
        <f t="shared" si="11"/>
        <v>人流量</v>
      </c>
      <c r="R27" s="770" t="s">
        <v>17</v>
      </c>
      <c r="S27" s="771">
        <f>F27</f>
        <v>100</v>
      </c>
      <c r="T27" s="770" t="s">
        <v>17</v>
      </c>
      <c r="U27" s="771">
        <f>H27</f>
        <v>100</v>
      </c>
      <c r="V27" s="770" t="s">
        <v>17</v>
      </c>
      <c r="W27" s="771">
        <f>J27</f>
        <v>100</v>
      </c>
      <c r="X27" s="772"/>
      <c r="Y27" s="3337"/>
      <c r="Z27" s="55" t="str">
        <f>Q27</f>
        <v>人流量</v>
      </c>
      <c r="AA27" s="1806">
        <f>D27/F27</f>
        <v>1</v>
      </c>
      <c r="AB27" s="1806">
        <f>D27/H27</f>
        <v>1</v>
      </c>
      <c r="AC27" s="1806">
        <f>D27/J27</f>
        <v>1</v>
      </c>
    </row>
    <row r="28" spans="1:29" ht="15">
      <c r="A28" s="428"/>
      <c r="B28" s="422" t="s">
        <v>2612</v>
      </c>
      <c r="C28" s="616" t="s">
        <v>3097</v>
      </c>
      <c r="D28" s="435">
        <v>100</v>
      </c>
      <c r="E28" s="616" t="s">
        <v>3097</v>
      </c>
      <c r="F28" s="461">
        <f>SUMIF(92:92,E28,93:93)-SUMIF(92:92,C28,93:93)+100</f>
        <v>100</v>
      </c>
      <c r="G28" s="616" t="s">
        <v>3097</v>
      </c>
      <c r="H28" s="435">
        <f>SUMIF(92:92,G28,93:93)-SUMIF(92:92,C28,93:93)+100</f>
        <v>100</v>
      </c>
      <c r="I28" s="616" t="s">
        <v>3097</v>
      </c>
      <c r="J28" s="435">
        <f>SUMIF(92:92,I28,93:93)-SUMIF(92:92,C28,93:93)+100</f>
        <v>100</v>
      </c>
      <c r="K28" s="613"/>
      <c r="L28" s="1136"/>
      <c r="M28" s="1127"/>
      <c r="N28" s="1127"/>
      <c r="O28" s="1127"/>
      <c r="P28" s="334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337"/>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44"/>
      <c r="Q29" s="1805">
        <f t="shared" si="11"/>
        <v>0</v>
      </c>
      <c r="R29" s="774" t="s">
        <v>17</v>
      </c>
      <c r="S29" s="775">
        <f t="shared" si="12"/>
        <v>100</v>
      </c>
      <c r="T29" s="774" t="s">
        <v>17</v>
      </c>
      <c r="U29" s="775">
        <f t="shared" si="13"/>
        <v>100</v>
      </c>
      <c r="V29" s="774" t="s">
        <v>17</v>
      </c>
      <c r="W29" s="775">
        <f t="shared" si="14"/>
        <v>100</v>
      </c>
      <c r="X29" s="1808"/>
      <c r="Y29" s="3337"/>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44"/>
      <c r="Q30" s="1805">
        <f t="shared" si="11"/>
        <v>0</v>
      </c>
      <c r="R30" s="774" t="s">
        <v>17</v>
      </c>
      <c r="S30" s="775">
        <f t="shared" si="12"/>
        <v>100</v>
      </c>
      <c r="T30" s="774" t="s">
        <v>17</v>
      </c>
      <c r="U30" s="775">
        <f t="shared" si="13"/>
        <v>100</v>
      </c>
      <c r="V30" s="774" t="s">
        <v>17</v>
      </c>
      <c r="W30" s="775">
        <f t="shared" si="14"/>
        <v>100</v>
      </c>
      <c r="X30" s="1808"/>
      <c r="Y30" s="3337"/>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44"/>
      <c r="Q31" s="1805">
        <f t="shared" si="11"/>
        <v>0</v>
      </c>
      <c r="R31" s="774" t="s">
        <v>17</v>
      </c>
      <c r="S31" s="775">
        <f t="shared" si="12"/>
        <v>100</v>
      </c>
      <c r="T31" s="774" t="s">
        <v>17</v>
      </c>
      <c r="U31" s="775">
        <f t="shared" si="13"/>
        <v>100</v>
      </c>
      <c r="V31" s="774" t="s">
        <v>17</v>
      </c>
      <c r="W31" s="775">
        <f t="shared" si="14"/>
        <v>100</v>
      </c>
      <c r="X31" s="1808"/>
      <c r="Y31" s="3337"/>
      <c r="Z31" s="1809">
        <f t="shared" si="15"/>
        <v>0</v>
      </c>
      <c r="AA31" s="1806">
        <f t="shared" si="3"/>
        <v>1</v>
      </c>
      <c r="AB31" s="1806">
        <f t="shared" si="4"/>
        <v>1</v>
      </c>
      <c r="AC31" s="1806">
        <f t="shared" si="5"/>
        <v>1</v>
      </c>
    </row>
    <row r="32" spans="1:29" ht="15">
      <c r="A32" s="440" t="s">
        <v>2516</v>
      </c>
      <c r="B32" s="71" t="s">
        <v>2613</v>
      </c>
      <c r="C32" s="2613" t="s">
        <v>3088</v>
      </c>
      <c r="D32" s="467">
        <v>100</v>
      </c>
      <c r="E32" s="2613" t="s">
        <v>3440</v>
      </c>
      <c r="F32" s="461">
        <f>SUMIF(100:100,E32,101:101)-SUMIF(100:100,C32,101:101)+100</f>
        <v>101</v>
      </c>
      <c r="G32" s="2613" t="s">
        <v>3440</v>
      </c>
      <c r="H32" s="435">
        <f>SUMIF(100:100,G32,101:101)-SUMIF(100:100,C32,101:101)+100</f>
        <v>101</v>
      </c>
      <c r="I32" s="2613" t="s">
        <v>3440</v>
      </c>
      <c r="J32" s="467">
        <f>SUMIF(100:100,I32,101:101)-SUMIF(100:100,C32,101:101)+100</f>
        <v>101</v>
      </c>
      <c r="K32" s="612">
        <v>1</v>
      </c>
      <c r="L32" s="1136"/>
      <c r="M32" s="1127"/>
      <c r="N32" s="1127"/>
      <c r="O32" s="1127"/>
      <c r="P32" s="3338" t="s">
        <v>2518</v>
      </c>
      <c r="Q32" s="1805" t="str">
        <f t="shared" si="11"/>
        <v>商业类型</v>
      </c>
      <c r="R32" s="774" t="s">
        <v>17</v>
      </c>
      <c r="S32" s="775">
        <f t="shared" si="12"/>
        <v>101</v>
      </c>
      <c r="T32" s="774" t="s">
        <v>17</v>
      </c>
      <c r="U32" s="775">
        <f t="shared" si="13"/>
        <v>101</v>
      </c>
      <c r="V32" s="774" t="s">
        <v>17</v>
      </c>
      <c r="W32" s="775">
        <f t="shared" si="14"/>
        <v>101</v>
      </c>
      <c r="X32" s="1808"/>
      <c r="Y32" s="3341" t="s">
        <v>2518</v>
      </c>
      <c r="Z32" s="1809" t="str">
        <f t="shared" si="15"/>
        <v>商业类型</v>
      </c>
      <c r="AA32" s="1806">
        <f t="shared" si="3"/>
        <v>0.99009900990099009</v>
      </c>
      <c r="AB32" s="1806">
        <f t="shared" si="4"/>
        <v>0.99009900990099009</v>
      </c>
      <c r="AC32" s="1806">
        <f t="shared" si="5"/>
        <v>0.99009900990099009</v>
      </c>
    </row>
    <row r="33" spans="1:29" s="471" customFormat="1" ht="15">
      <c r="A33" s="468"/>
      <c r="B33" s="422" t="s">
        <v>2519</v>
      </c>
      <c r="C33" s="469">
        <f>'典型户型修正-商业'!B24</f>
        <v>2404.44</v>
      </c>
      <c r="D33" s="136">
        <v>100</v>
      </c>
      <c r="E33" s="430">
        <v>48</v>
      </c>
      <c r="F33" s="425">
        <f>LOOKUP(E33,103:103,104:104)-LOOKUP(C33,103:103,104:104)+100</f>
        <v>100</v>
      </c>
      <c r="G33" s="430">
        <v>236</v>
      </c>
      <c r="H33" s="136">
        <f>LOOKUP(G33,103:103,104:104)-LOOKUP(C33,103:103,104:104)+100</f>
        <v>100</v>
      </c>
      <c r="I33" s="430">
        <v>93</v>
      </c>
      <c r="J33" s="136">
        <f>LOOKUP(I33,103:103,104:104)-LOOKUP(C33,103:103,104:104)+100</f>
        <v>100</v>
      </c>
      <c r="K33" s="613"/>
      <c r="L33" s="1134"/>
      <c r="M33" s="1137"/>
      <c r="N33" s="1137"/>
      <c r="O33" s="1137"/>
      <c r="P33" s="3339"/>
      <c r="Q33" s="776" t="str">
        <f t="shared" si="11"/>
        <v>项目建筑规模</v>
      </c>
      <c r="R33" s="777" t="s">
        <v>17</v>
      </c>
      <c r="S33" s="778">
        <f t="shared" si="12"/>
        <v>100</v>
      </c>
      <c r="T33" s="777" t="s">
        <v>17</v>
      </c>
      <c r="U33" s="778">
        <f t="shared" si="13"/>
        <v>100</v>
      </c>
      <c r="V33" s="777" t="s">
        <v>17</v>
      </c>
      <c r="W33" s="778">
        <f t="shared" si="14"/>
        <v>100</v>
      </c>
      <c r="X33" s="779"/>
      <c r="Y33" s="3341"/>
      <c r="Z33" s="780" t="str">
        <f t="shared" si="15"/>
        <v>项目建筑规模</v>
      </c>
      <c r="AA33" s="1806">
        <f t="shared" si="3"/>
        <v>1</v>
      </c>
      <c r="AB33" s="1806">
        <f t="shared" si="4"/>
        <v>1</v>
      </c>
      <c r="AC33" s="1806">
        <f t="shared" si="5"/>
        <v>1</v>
      </c>
    </row>
    <row r="34" spans="1:29" ht="15">
      <c r="A34" s="472"/>
      <c r="B34" s="422" t="s">
        <v>2520</v>
      </c>
      <c r="C34" s="2615" t="s">
        <v>3053</v>
      </c>
      <c r="D34" s="435">
        <v>100</v>
      </c>
      <c r="E34" s="2615" t="s">
        <v>3053</v>
      </c>
      <c r="F34" s="461">
        <f>SUMIF(105:105,E34,106:106)-SUMIF(105:105,C34,106:106)+100</f>
        <v>100</v>
      </c>
      <c r="G34" s="2615" t="s">
        <v>3053</v>
      </c>
      <c r="H34" s="435">
        <f>SUMIF(105:105,G34,106:106)-SUMIF(105:105,C34,106:106)+100</f>
        <v>100</v>
      </c>
      <c r="I34" s="2615" t="s">
        <v>3053</v>
      </c>
      <c r="J34" s="435">
        <f>SUMIF(105:105,I34,106:106)-SUMIF(105:105,C34,106:106)+100</f>
        <v>100</v>
      </c>
      <c r="K34" s="612">
        <v>1</v>
      </c>
      <c r="L34" s="1136"/>
      <c r="M34" s="1127"/>
      <c r="N34" s="1127"/>
      <c r="O34" s="1127"/>
      <c r="P34" s="3339"/>
      <c r="Q34" s="1805" t="str">
        <f t="shared" si="11"/>
        <v>建筑结构</v>
      </c>
      <c r="R34" s="774" t="s">
        <v>17</v>
      </c>
      <c r="S34" s="775">
        <f t="shared" si="12"/>
        <v>100</v>
      </c>
      <c r="T34" s="774" t="s">
        <v>17</v>
      </c>
      <c r="U34" s="775">
        <f t="shared" si="13"/>
        <v>100</v>
      </c>
      <c r="V34" s="774" t="s">
        <v>17</v>
      </c>
      <c r="W34" s="775">
        <f t="shared" si="14"/>
        <v>100</v>
      </c>
      <c r="X34" s="1808"/>
      <c r="Y34" s="3341"/>
      <c r="Z34" s="1809" t="str">
        <f t="shared" si="15"/>
        <v>建筑结构</v>
      </c>
      <c r="AA34" s="1806">
        <f t="shared" si="3"/>
        <v>1</v>
      </c>
      <c r="AB34" s="1806">
        <f t="shared" si="4"/>
        <v>1</v>
      </c>
      <c r="AC34" s="1806">
        <f t="shared" si="5"/>
        <v>1</v>
      </c>
    </row>
    <row r="35" spans="1:29" ht="15">
      <c r="A35" s="472"/>
      <c r="B35" s="422" t="s">
        <v>2614</v>
      </c>
      <c r="C35" s="2609" t="s">
        <v>3063</v>
      </c>
      <c r="D35" s="435">
        <v>100</v>
      </c>
      <c r="E35" s="2609" t="s">
        <v>3063</v>
      </c>
      <c r="F35" s="461">
        <f>SUMIF(107:107,E35,108:108)-SUMIF(107:107,C35,108:108)+100</f>
        <v>100</v>
      </c>
      <c r="G35" s="2609" t="s">
        <v>3063</v>
      </c>
      <c r="H35" s="435">
        <f>SUMIF(107:107,G35,108:108)-SUMIF(107:107,C35,108:108)+100</f>
        <v>100</v>
      </c>
      <c r="I35" s="2609" t="s">
        <v>3063</v>
      </c>
      <c r="J35" s="435">
        <f>SUMIF(107:107,I35,108:108)-SUMIF(107:107,C35,108:108)+100</f>
        <v>100</v>
      </c>
      <c r="K35" s="612">
        <v>1</v>
      </c>
      <c r="L35" s="1136"/>
      <c r="M35" s="1127"/>
      <c r="N35" s="1127"/>
      <c r="O35" s="1127"/>
      <c r="P35" s="3339"/>
      <c r="Q35" s="1805" t="str">
        <f t="shared" si="11"/>
        <v>公共部分装修</v>
      </c>
      <c r="R35" s="774" t="s">
        <v>17</v>
      </c>
      <c r="S35" s="775">
        <f t="shared" si="12"/>
        <v>100</v>
      </c>
      <c r="T35" s="774" t="s">
        <v>17</v>
      </c>
      <c r="U35" s="775">
        <f t="shared" si="13"/>
        <v>100</v>
      </c>
      <c r="V35" s="774" t="s">
        <v>17</v>
      </c>
      <c r="W35" s="775">
        <f t="shared" si="14"/>
        <v>100</v>
      </c>
      <c r="X35" s="1808"/>
      <c r="Y35" s="3341"/>
      <c r="Z35" s="1809" t="str">
        <f t="shared" si="15"/>
        <v>公共部分装修</v>
      </c>
      <c r="AA35" s="1806">
        <f t="shared" si="3"/>
        <v>1</v>
      </c>
      <c r="AB35" s="1806">
        <f t="shared" si="4"/>
        <v>1</v>
      </c>
      <c r="AC35" s="1806">
        <f t="shared" si="5"/>
        <v>1</v>
      </c>
    </row>
    <row r="36" spans="1:29" ht="15">
      <c r="A36" s="472"/>
      <c r="B36" s="422" t="s">
        <v>2615</v>
      </c>
      <c r="C36" s="474">
        <f>'数据-取费表'!N6</f>
        <v>0.62</v>
      </c>
      <c r="D36" s="435">
        <v>100</v>
      </c>
      <c r="E36" s="474">
        <v>0.62</v>
      </c>
      <c r="F36" s="461">
        <f>LOOKUP(E36,110:110,111:111)-LOOKUP(C36,110:110,111:111)+100</f>
        <v>100</v>
      </c>
      <c r="G36" s="474">
        <v>0.62</v>
      </c>
      <c r="H36" s="461">
        <f>LOOKUP(G36,110:110,111:111)-LOOKUP(C36,110:110,111:111)+100</f>
        <v>100</v>
      </c>
      <c r="I36" s="474">
        <v>0.62</v>
      </c>
      <c r="J36" s="435">
        <f>LOOKUP(I36,110:110,111:111)-LOOKUP(C36,110:110,111:111)+100</f>
        <v>100</v>
      </c>
      <c r="K36" s="612">
        <v>1</v>
      </c>
      <c r="L36" s="1136"/>
      <c r="M36" s="1127"/>
      <c r="N36" s="1127"/>
      <c r="O36" s="1127"/>
      <c r="P36" s="3339"/>
      <c r="Q36" s="1805" t="str">
        <f t="shared" si="11"/>
        <v>成新度</v>
      </c>
      <c r="R36" s="774" t="s">
        <v>17</v>
      </c>
      <c r="S36" s="775">
        <f t="shared" si="12"/>
        <v>100</v>
      </c>
      <c r="T36" s="774" t="s">
        <v>17</v>
      </c>
      <c r="U36" s="775">
        <f t="shared" si="13"/>
        <v>100</v>
      </c>
      <c r="V36" s="774" t="s">
        <v>17</v>
      </c>
      <c r="W36" s="775">
        <f t="shared" si="14"/>
        <v>100</v>
      </c>
      <c r="X36" s="1808"/>
      <c r="Y36" s="3341"/>
      <c r="Z36" s="1809" t="str">
        <f t="shared" si="15"/>
        <v>成新度</v>
      </c>
      <c r="AA36" s="1806">
        <f t="shared" si="3"/>
        <v>1</v>
      </c>
      <c r="AB36" s="1806">
        <f t="shared" si="4"/>
        <v>1</v>
      </c>
      <c r="AC36" s="1806">
        <f t="shared" si="5"/>
        <v>1</v>
      </c>
    </row>
    <row r="37" spans="1:29" s="117" customFormat="1" ht="15">
      <c r="A37" s="473"/>
      <c r="B37" s="422" t="s">
        <v>2616</v>
      </c>
      <c r="C37" s="2609" t="s">
        <v>3059</v>
      </c>
      <c r="D37" s="136">
        <v>100</v>
      </c>
      <c r="E37" s="2609" t="s">
        <v>3059</v>
      </c>
      <c r="F37" s="461">
        <f>SUMIF(112:112,E37,113:113)-SUMIF(112:112,C37,113:113)+100</f>
        <v>100</v>
      </c>
      <c r="G37" s="2609" t="s">
        <v>3059</v>
      </c>
      <c r="H37" s="435">
        <f>SUMIF(112:112,G37,113:113)-SUMIF(112:112,C37,113:113)+100</f>
        <v>100</v>
      </c>
      <c r="I37" s="2609" t="s">
        <v>3059</v>
      </c>
      <c r="J37" s="435">
        <f>SUMIF(112:112,I37,113:113)-SUMIF(112:112,C37,113:113)+100</f>
        <v>100</v>
      </c>
      <c r="K37" s="612">
        <v>1</v>
      </c>
      <c r="L37" s="1128"/>
      <c r="M37" s="1129"/>
      <c r="N37" s="1129"/>
      <c r="O37" s="1129"/>
      <c r="P37" s="3339"/>
      <c r="Q37" s="1790" t="str">
        <f t="shared" si="11"/>
        <v>市政基础设施</v>
      </c>
      <c r="R37" s="770" t="s">
        <v>17</v>
      </c>
      <c r="S37" s="771">
        <f t="shared" si="12"/>
        <v>100</v>
      </c>
      <c r="T37" s="770" t="s">
        <v>17</v>
      </c>
      <c r="U37" s="771">
        <f t="shared" si="13"/>
        <v>100</v>
      </c>
      <c r="V37" s="770" t="s">
        <v>17</v>
      </c>
      <c r="W37" s="771">
        <f t="shared" si="14"/>
        <v>100</v>
      </c>
      <c r="X37" s="772"/>
      <c r="Y37" s="3341"/>
      <c r="Z37" s="55" t="str">
        <f t="shared" si="15"/>
        <v>市政基础设施</v>
      </c>
      <c r="AA37" s="773">
        <f t="shared" si="3"/>
        <v>1</v>
      </c>
      <c r="AB37" s="773">
        <f t="shared" si="4"/>
        <v>1</v>
      </c>
      <c r="AC37" s="773">
        <f t="shared" si="5"/>
        <v>1</v>
      </c>
    </row>
    <row r="38" spans="1:29" ht="15">
      <c r="A38" s="472"/>
      <c r="B38" s="422" t="s">
        <v>2617</v>
      </c>
      <c r="C38" s="2609" t="s">
        <v>3093</v>
      </c>
      <c r="D38" s="435">
        <v>100</v>
      </c>
      <c r="E38" s="2609" t="s">
        <v>3093</v>
      </c>
      <c r="F38" s="461">
        <f>SUMIF(114:114,E38,115:115)-SUMIF(114:114,C38,115:115)+100</f>
        <v>100</v>
      </c>
      <c r="G38" s="2609" t="s">
        <v>3093</v>
      </c>
      <c r="H38" s="435">
        <f>SUMIF(114:114,G38,115:115)-SUMIF(114:114,C38,115:115)+100</f>
        <v>100</v>
      </c>
      <c r="I38" s="2609" t="s">
        <v>3093</v>
      </c>
      <c r="J38" s="435">
        <f>SUMIF(114:114,I38,115:115)-SUMIF(114:114,C38,115:115)+100</f>
        <v>100</v>
      </c>
      <c r="K38" s="612">
        <v>1</v>
      </c>
      <c r="L38" s="1136"/>
      <c r="M38" s="1127"/>
      <c r="N38" s="1127"/>
      <c r="O38" s="1127"/>
      <c r="P38" s="3339" t="s">
        <v>2518</v>
      </c>
      <c r="Q38" s="1805" t="str">
        <f t="shared" si="11"/>
        <v>业态</v>
      </c>
      <c r="R38" s="774" t="s">
        <v>17</v>
      </c>
      <c r="S38" s="775">
        <f t="shared" si="12"/>
        <v>100</v>
      </c>
      <c r="T38" s="774" t="s">
        <v>17</v>
      </c>
      <c r="U38" s="775">
        <f t="shared" si="13"/>
        <v>100</v>
      </c>
      <c r="V38" s="774" t="s">
        <v>17</v>
      </c>
      <c r="W38" s="775">
        <f t="shared" si="14"/>
        <v>100</v>
      </c>
      <c r="X38" s="1808"/>
      <c r="Y38" s="3341" t="s">
        <v>2518</v>
      </c>
      <c r="Z38" s="1809" t="str">
        <f t="shared" si="15"/>
        <v>业态</v>
      </c>
      <c r="AA38" s="1806">
        <f t="shared" si="3"/>
        <v>1</v>
      </c>
      <c r="AB38" s="1806">
        <f t="shared" si="4"/>
        <v>1</v>
      </c>
      <c r="AC38" s="1806">
        <f t="shared" si="5"/>
        <v>1</v>
      </c>
    </row>
    <row r="39" spans="1:29" ht="15">
      <c r="A39" s="472"/>
      <c r="B39" s="422" t="s">
        <v>2618</v>
      </c>
      <c r="C39" s="2609" t="s">
        <v>3061</v>
      </c>
      <c r="D39" s="435">
        <v>100</v>
      </c>
      <c r="E39" s="2609" t="s">
        <v>3061</v>
      </c>
      <c r="F39" s="461">
        <f>SUMIF(116:116,E39,117:117)-SUMIF(116:116,C39,117:117)+100</f>
        <v>100</v>
      </c>
      <c r="G39" s="2609" t="s">
        <v>3061</v>
      </c>
      <c r="H39" s="435">
        <f>SUMIF(116:116,G39,117:117)-SUMIF(116:116,C39,117:117)+100</f>
        <v>100</v>
      </c>
      <c r="I39" s="2609" t="s">
        <v>3061</v>
      </c>
      <c r="J39" s="435">
        <f>SUMIF(116:116,I39,117:117)-SUMIF(116:116,C39,117:117)+100</f>
        <v>100</v>
      </c>
      <c r="K39" s="612">
        <v>1</v>
      </c>
      <c r="L39" s="1136"/>
      <c r="M39" s="1127"/>
      <c r="N39" s="1127"/>
      <c r="O39" s="1127"/>
      <c r="P39" s="3339"/>
      <c r="Q39" s="1805" t="str">
        <f t="shared" si="11"/>
        <v>层高</v>
      </c>
      <c r="R39" s="774" t="s">
        <v>17</v>
      </c>
      <c r="S39" s="775">
        <f t="shared" si="12"/>
        <v>100</v>
      </c>
      <c r="T39" s="774" t="s">
        <v>17</v>
      </c>
      <c r="U39" s="775">
        <f t="shared" si="13"/>
        <v>100</v>
      </c>
      <c r="V39" s="774" t="s">
        <v>17</v>
      </c>
      <c r="W39" s="775">
        <f t="shared" si="14"/>
        <v>100</v>
      </c>
      <c r="X39" s="1808"/>
      <c r="Y39" s="3341"/>
      <c r="Z39" s="1809" t="str">
        <f t="shared" si="15"/>
        <v>层高</v>
      </c>
      <c r="AA39" s="1806">
        <f t="shared" si="3"/>
        <v>1</v>
      </c>
      <c r="AB39" s="1806">
        <f t="shared" si="4"/>
        <v>1</v>
      </c>
      <c r="AC39" s="1806">
        <f t="shared" si="5"/>
        <v>1</v>
      </c>
    </row>
    <row r="40" spans="1:29" ht="15">
      <c r="A40" s="472"/>
      <c r="B40" s="422" t="s">
        <v>2619</v>
      </c>
      <c r="C40" s="617" t="s">
        <v>3082</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36"/>
      <c r="M40" s="1127"/>
      <c r="N40" s="1127"/>
      <c r="O40" s="1127"/>
      <c r="P40" s="3339"/>
      <c r="Q40" s="1805" t="str">
        <f t="shared" si="11"/>
        <v>单套建筑面积</v>
      </c>
      <c r="R40" s="774" t="s">
        <v>17</v>
      </c>
      <c r="S40" s="775">
        <f t="shared" si="12"/>
        <v>100</v>
      </c>
      <c r="T40" s="774" t="s">
        <v>17</v>
      </c>
      <c r="U40" s="775">
        <f t="shared" si="13"/>
        <v>100</v>
      </c>
      <c r="V40" s="774" t="s">
        <v>17</v>
      </c>
      <c r="W40" s="775">
        <f t="shared" si="14"/>
        <v>100</v>
      </c>
      <c r="X40" s="1808"/>
      <c r="Y40" s="3341"/>
      <c r="Z40" s="1809" t="str">
        <f t="shared" si="15"/>
        <v>单套建筑面积</v>
      </c>
      <c r="AA40" s="1806">
        <f t="shared" si="3"/>
        <v>1</v>
      </c>
      <c r="AB40" s="1806">
        <f t="shared" si="4"/>
        <v>1</v>
      </c>
      <c r="AC40" s="1806">
        <f t="shared" si="5"/>
        <v>1</v>
      </c>
    </row>
    <row r="41" spans="1:29" s="471" customFormat="1" ht="15">
      <c r="A41" s="468"/>
      <c r="B41" s="1807" t="s">
        <v>2620</v>
      </c>
      <c r="C41" s="616" t="s">
        <v>3065</v>
      </c>
      <c r="D41" s="435">
        <v>100</v>
      </c>
      <c r="E41" s="616" t="s">
        <v>3065</v>
      </c>
      <c r="F41" s="461">
        <f>SUMIF(120:120,E41,121:121)-SUMIF(120:120,C41,121:121)+100</f>
        <v>100</v>
      </c>
      <c r="G41" s="616" t="s">
        <v>3065</v>
      </c>
      <c r="H41" s="435">
        <f>SUMIF(120:120,G41,121:121)-SUMIF(120:120,C41,121:121)+100</f>
        <v>100</v>
      </c>
      <c r="I41" s="616" t="s">
        <v>3065</v>
      </c>
      <c r="J41" s="435">
        <f>SUMIF(120:120,I41,121:121)-SUMIF(120:120,C41,121:121)+100</f>
        <v>100</v>
      </c>
      <c r="K41" s="612">
        <v>1</v>
      </c>
      <c r="L41" s="1134"/>
      <c r="M41" s="1137"/>
      <c r="N41" s="1137"/>
      <c r="O41" s="1137"/>
      <c r="P41" s="3339"/>
      <c r="Q41" s="776" t="str">
        <f t="shared" si="11"/>
        <v>进深比</v>
      </c>
      <c r="R41" s="777" t="s">
        <v>17</v>
      </c>
      <c r="S41" s="778">
        <f t="shared" si="12"/>
        <v>100</v>
      </c>
      <c r="T41" s="777" t="s">
        <v>17</v>
      </c>
      <c r="U41" s="778">
        <f t="shared" si="13"/>
        <v>100</v>
      </c>
      <c r="V41" s="777" t="s">
        <v>17</v>
      </c>
      <c r="W41" s="778">
        <f t="shared" si="14"/>
        <v>100</v>
      </c>
      <c r="X41" s="779"/>
      <c r="Y41" s="3341"/>
      <c r="Z41" s="780" t="str">
        <f t="shared" si="15"/>
        <v>进深比</v>
      </c>
      <c r="AA41" s="1806">
        <f t="shared" si="3"/>
        <v>1</v>
      </c>
      <c r="AB41" s="1806">
        <f t="shared" si="4"/>
        <v>1</v>
      </c>
      <c r="AC41" s="1806">
        <f t="shared" si="5"/>
        <v>1</v>
      </c>
    </row>
    <row r="42" spans="1:29" ht="15">
      <c r="A42" s="472"/>
      <c r="B42" s="422" t="s">
        <v>2621</v>
      </c>
      <c r="C42" s="2609" t="s">
        <v>3063</v>
      </c>
      <c r="D42" s="435">
        <v>100</v>
      </c>
      <c r="E42" s="2609" t="s">
        <v>3063</v>
      </c>
      <c r="F42" s="461">
        <f>SUMIF(122:122,E42,123:123)-SUMIF(122:122,C42,123:123)+100</f>
        <v>100</v>
      </c>
      <c r="G42" s="2609" t="s">
        <v>3063</v>
      </c>
      <c r="H42" s="435">
        <f>SUMIF(122:122,G42,123:123)-SUMIF(122:122,C42,123:123)+100</f>
        <v>100</v>
      </c>
      <c r="I42" s="2609" t="s">
        <v>3063</v>
      </c>
      <c r="J42" s="435">
        <f>SUMIF(122:122,I42,123:123)-SUMIF(122:122,C42,123:123)+100</f>
        <v>100</v>
      </c>
      <c r="K42" s="612">
        <v>1</v>
      </c>
      <c r="L42" s="1136"/>
      <c r="M42" s="1127"/>
      <c r="N42" s="1127"/>
      <c r="O42" s="1127"/>
      <c r="P42" s="3339"/>
      <c r="Q42" s="1805" t="str">
        <f t="shared" si="11"/>
        <v>内部装修</v>
      </c>
      <c r="R42" s="774" t="s">
        <v>17</v>
      </c>
      <c r="S42" s="775">
        <f t="shared" si="12"/>
        <v>100</v>
      </c>
      <c r="T42" s="774" t="s">
        <v>17</v>
      </c>
      <c r="U42" s="775">
        <f t="shared" si="13"/>
        <v>100</v>
      </c>
      <c r="V42" s="774" t="s">
        <v>17</v>
      </c>
      <c r="W42" s="775">
        <f t="shared" si="14"/>
        <v>100</v>
      </c>
      <c r="X42" s="1808"/>
      <c r="Y42" s="3341"/>
      <c r="Z42" s="1809" t="str">
        <f t="shared" si="15"/>
        <v>内部装修</v>
      </c>
      <c r="AA42" s="1806">
        <f t="shared" si="3"/>
        <v>1</v>
      </c>
      <c r="AB42" s="1806">
        <f t="shared" si="4"/>
        <v>1</v>
      </c>
      <c r="AC42" s="1806">
        <f t="shared" si="5"/>
        <v>1</v>
      </c>
    </row>
    <row r="43" spans="1:29" ht="15">
      <c r="A43" s="472"/>
      <c r="B43" s="422" t="s">
        <v>2529</v>
      </c>
      <c r="C43" s="2609" t="s">
        <v>3065</v>
      </c>
      <c r="D43" s="435">
        <v>100</v>
      </c>
      <c r="E43" s="2609" t="s">
        <v>3065</v>
      </c>
      <c r="F43" s="461">
        <f>SUMIF(124:124,E43,125:125)-SUMIF(124:124,C43,125:125)+100</f>
        <v>100</v>
      </c>
      <c r="G43" s="2609" t="s">
        <v>3065</v>
      </c>
      <c r="H43" s="435">
        <f>SUMIF(124:124,G43,125:125)-SUMIF(124:124,C43,125:125)+100</f>
        <v>100</v>
      </c>
      <c r="I43" s="2609" t="s">
        <v>3065</v>
      </c>
      <c r="J43" s="435">
        <f>SUMIF(124:124,I43,125:125)-SUMIF(124:124,C43,125:125)+100</f>
        <v>100</v>
      </c>
      <c r="K43" s="612">
        <v>1</v>
      </c>
      <c r="L43" s="1136"/>
      <c r="M43" s="1127"/>
      <c r="N43" s="1127"/>
      <c r="O43" s="1127"/>
      <c r="P43" s="3339"/>
      <c r="Q43" s="1805" t="str">
        <f t="shared" si="11"/>
        <v>内部装修维护情况</v>
      </c>
      <c r="R43" s="774" t="s">
        <v>17</v>
      </c>
      <c r="S43" s="775">
        <f t="shared" si="12"/>
        <v>100</v>
      </c>
      <c r="T43" s="774" t="s">
        <v>17</v>
      </c>
      <c r="U43" s="775">
        <f t="shared" si="13"/>
        <v>100</v>
      </c>
      <c r="V43" s="774" t="s">
        <v>17</v>
      </c>
      <c r="W43" s="775">
        <f t="shared" si="14"/>
        <v>100</v>
      </c>
      <c r="X43" s="1808"/>
      <c r="Y43" s="3341"/>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39"/>
      <c r="Q44" s="1790">
        <f t="shared" si="11"/>
        <v>0</v>
      </c>
      <c r="R44" s="770" t="s">
        <v>17</v>
      </c>
      <c r="S44" s="771">
        <f t="shared" si="12"/>
        <v>100</v>
      </c>
      <c r="T44" s="770" t="s">
        <v>17</v>
      </c>
      <c r="U44" s="771">
        <f t="shared" si="13"/>
        <v>100</v>
      </c>
      <c r="V44" s="770" t="s">
        <v>17</v>
      </c>
      <c r="W44" s="771">
        <f t="shared" si="14"/>
        <v>100</v>
      </c>
      <c r="X44" s="772"/>
      <c r="Y44" s="3341"/>
      <c r="Z44" s="55">
        <f t="shared" si="15"/>
        <v>0</v>
      </c>
      <c r="AA44" s="773">
        <f t="shared" si="3"/>
        <v>1</v>
      </c>
      <c r="AB44" s="773">
        <f t="shared" si="4"/>
        <v>1</v>
      </c>
      <c r="AC44" s="773">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39"/>
      <c r="Q45" s="1805">
        <f t="shared" si="11"/>
        <v>0</v>
      </c>
      <c r="R45" s="774" t="s">
        <v>17</v>
      </c>
      <c r="S45" s="775">
        <f t="shared" si="12"/>
        <v>100</v>
      </c>
      <c r="T45" s="774" t="s">
        <v>17</v>
      </c>
      <c r="U45" s="775">
        <f t="shared" si="13"/>
        <v>100</v>
      </c>
      <c r="V45" s="774" t="s">
        <v>17</v>
      </c>
      <c r="W45" s="775">
        <f t="shared" si="14"/>
        <v>100</v>
      </c>
      <c r="X45" s="1808"/>
      <c r="Y45" s="3341"/>
      <c r="Z45" s="1809">
        <f t="shared" si="15"/>
        <v>0</v>
      </c>
      <c r="AA45" s="1806">
        <f t="shared" si="3"/>
        <v>1</v>
      </c>
      <c r="AB45" s="1806">
        <f t="shared" si="4"/>
        <v>1</v>
      </c>
      <c r="AC45" s="1806">
        <f t="shared" si="5"/>
        <v>1</v>
      </c>
    </row>
    <row r="46" spans="1:29" ht="15.75"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40"/>
      <c r="Q46" s="1805">
        <f t="shared" si="11"/>
        <v>0</v>
      </c>
      <c r="R46" s="774" t="s">
        <v>17</v>
      </c>
      <c r="S46" s="775">
        <f t="shared" si="12"/>
        <v>100</v>
      </c>
      <c r="T46" s="774" t="s">
        <v>17</v>
      </c>
      <c r="U46" s="775">
        <f t="shared" si="13"/>
        <v>100</v>
      </c>
      <c r="V46" s="774" t="s">
        <v>17</v>
      </c>
      <c r="W46" s="775">
        <f t="shared" si="14"/>
        <v>100</v>
      </c>
      <c r="X46" s="1808"/>
      <c r="Y46" s="3342"/>
      <c r="Z46" s="1809">
        <f t="shared" si="15"/>
        <v>0</v>
      </c>
      <c r="AA46" s="1806">
        <f t="shared" si="3"/>
        <v>1</v>
      </c>
      <c r="AB46" s="1806">
        <f t="shared" si="4"/>
        <v>1</v>
      </c>
      <c r="AC46" s="1806">
        <f t="shared" si="5"/>
        <v>1</v>
      </c>
    </row>
    <row r="47" spans="1:29" ht="15">
      <c r="A47" s="479" t="s">
        <v>2530</v>
      </c>
      <c r="B47" s="480"/>
      <c r="C47" s="1403" t="s">
        <v>1</v>
      </c>
      <c r="D47" s="1404"/>
      <c r="E47" s="1405">
        <v>51875</v>
      </c>
      <c r="F47" s="1406"/>
      <c r="G47" s="1407">
        <v>51398</v>
      </c>
      <c r="H47" s="1408"/>
      <c r="I47" s="1405">
        <v>50108</v>
      </c>
      <c r="J47" s="1408"/>
      <c r="K47" s="783"/>
      <c r="L47" s="1139"/>
      <c r="M47" s="1140"/>
      <c r="N47" s="1127"/>
      <c r="O47" s="1140"/>
      <c r="P47" s="3334" t="str">
        <f>A47</f>
        <v>成交单价（元/平方米）</v>
      </c>
      <c r="Q47" s="3334"/>
      <c r="R47" s="3329">
        <f>E47</f>
        <v>51875</v>
      </c>
      <c r="S47" s="3329"/>
      <c r="T47" s="3329">
        <f>G47</f>
        <v>51398</v>
      </c>
      <c r="U47" s="3329"/>
      <c r="V47" s="3329">
        <f>I47</f>
        <v>50108</v>
      </c>
      <c r="W47" s="3329"/>
      <c r="X47" s="759"/>
      <c r="Y47" s="781"/>
      <c r="Z47" s="759"/>
      <c r="AA47" s="759"/>
      <c r="AB47" s="759"/>
      <c r="AC47" s="759"/>
    </row>
    <row r="48" spans="1:29" ht="15.75" thickBot="1">
      <c r="A48" s="486" t="s">
        <v>2622</v>
      </c>
      <c r="B48" s="487"/>
      <c r="C48" s="1409">
        <f>R49</f>
        <v>49628</v>
      </c>
      <c r="D48" s="1410"/>
      <c r="E48" s="1411">
        <f>R48</f>
        <v>50354</v>
      </c>
      <c r="F48" s="1411"/>
      <c r="G48" s="1409">
        <f>T48</f>
        <v>49891</v>
      </c>
      <c r="H48" s="1410"/>
      <c r="I48" s="1411">
        <f>V48</f>
        <v>48639</v>
      </c>
      <c r="J48" s="1410"/>
      <c r="K48" s="784"/>
      <c r="L48" s="1139"/>
      <c r="M48" s="1140"/>
      <c r="N48" s="1127"/>
      <c r="O48" s="1140"/>
      <c r="P48" s="3334" t="str">
        <f>A48</f>
        <v>比较价值（元/平方米）</v>
      </c>
      <c r="Q48" s="3334"/>
      <c r="R48" s="3335">
        <f>IF(F1="售价",ROUND(PRODUCT(R47,AA7:AA46),0),ROUND(PRODUCT(R47,AA7:AA46),1))</f>
        <v>50354</v>
      </c>
      <c r="S48" s="3335"/>
      <c r="T48" s="3335">
        <f>IF(F1="售价",ROUND(PRODUCT(T47,AB7:AB46),0),ROUND(PRODUCT(T47,AB7:AB46),1))</f>
        <v>49891</v>
      </c>
      <c r="U48" s="3335"/>
      <c r="V48" s="3335">
        <f>IF(F1="售价",ROUND(PRODUCT(V47,AC7:AC46),0),ROUND(PRODUCT(V47,AC7:AC46),1))</f>
        <v>48639</v>
      </c>
      <c r="W48" s="3335"/>
      <c r="X48" s="759"/>
      <c r="Y48" s="759"/>
      <c r="Z48" s="759"/>
      <c r="AA48" s="759"/>
      <c r="AB48" s="759"/>
      <c r="AC48" s="759"/>
    </row>
    <row r="49" spans="1:29" ht="15.75" thickBot="1">
      <c r="A49" s="492" t="s">
        <v>3081</v>
      </c>
      <c r="B49" s="493"/>
      <c r="C49" s="1413">
        <f>R49</f>
        <v>49628</v>
      </c>
      <c r="D49" s="1413"/>
      <c r="E49" s="1413"/>
      <c r="F49" s="1413"/>
      <c r="G49" s="1413"/>
      <c r="H49" s="1413"/>
      <c r="I49" s="1413"/>
      <c r="J49" s="1413"/>
      <c r="K49" s="785"/>
      <c r="L49" s="1139"/>
      <c r="M49" s="1140"/>
      <c r="N49" s="1127"/>
      <c r="O49" s="1140"/>
      <c r="P49" s="3331" t="str">
        <f>A49</f>
        <v>估价对象商业用房的比较价值（楼面单价，元/平方米）</v>
      </c>
      <c r="Q49" s="3332"/>
      <c r="R49" s="3333">
        <f>IF(F1="售价",ROUND(AVERAGE(R48:V48),0),ROUND(AVERAGE(R48:V48),1))</f>
        <v>49628</v>
      </c>
      <c r="S49" s="3333"/>
      <c r="T49" s="3333"/>
      <c r="U49" s="3333"/>
      <c r="V49" s="3333"/>
      <c r="W49" s="3333"/>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2624</v>
      </c>
      <c r="D52" s="498"/>
      <c r="E52" s="499">
        <f>IF(E47&lt;E48,E48/E47-1,E47/E48-1)</f>
        <v>3.0206140525082414E-2</v>
      </c>
      <c r="F52" s="500" t="str">
        <f>IF(OR(E52&gt;=0.3,E52&lt;=-0.3),"超过30%","")</f>
        <v/>
      </c>
      <c r="G52" s="499">
        <f>IF(G47&lt;G48,G48/G47-1,G47/G48-1)</f>
        <v>3.0205848750275655E-2</v>
      </c>
      <c r="H52" s="500" t="str">
        <f>IF(OR(G52&gt;=0.3,G52&lt;=-0.3),"超过30%","")</f>
        <v/>
      </c>
      <c r="I52" s="499">
        <f>IF(I47&lt;I48,I48/I47-1,I47/I48-1)</f>
        <v>3.0202101194514608E-2</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2625</v>
      </c>
      <c r="D53" s="501"/>
      <c r="E53" s="499">
        <f>IF(E48&lt;G48,G48/E48-1,E48/G48-1)</f>
        <v>9.2802309033692687E-3</v>
      </c>
      <c r="F53" s="500" t="str">
        <f>IF(OR(E53&gt;=0.2,E53&lt;=-0.2),"超过20%","")</f>
        <v/>
      </c>
      <c r="G53" s="499">
        <f>IF(G48&lt;I48,I48/G48-1,G48/I48-1)</f>
        <v>2.5740660786611524E-2</v>
      </c>
      <c r="H53" s="500" t="str">
        <f>IF(OR(G53&gt;=0.2,G53&lt;=-0.2),"超过20%","")</f>
        <v/>
      </c>
      <c r="I53" s="499">
        <f>IF(I48&lt;E48,E48/I48-1,I48/E48-1)</f>
        <v>3.5259770965685888E-2</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2626</v>
      </c>
      <c r="D54" s="501"/>
      <c r="E54" s="499">
        <f>IF(E47&lt;G47,G47/E47-1,E47/G47-1)</f>
        <v>9.2805167516245568E-3</v>
      </c>
      <c r="F54" s="500" t="str">
        <f>IF(OR(E54&gt;=0.3,E54&lt;=-0.3),"超过30%","")</f>
        <v/>
      </c>
      <c r="G54" s="499">
        <f>IF(G47&lt;I47,I47/G47-1,G47/I47-1)</f>
        <v>2.5744392113035808E-2</v>
      </c>
      <c r="H54" s="500" t="str">
        <f>IF(OR(G54&gt;=0.3,G54&lt;=-0.3),"超过30%","")</f>
        <v/>
      </c>
      <c r="I54" s="499">
        <f>IF(I47&lt;E47,E47/I47-1,I47/E47-1)</f>
        <v>3.526383012692591E-2</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5">
      <c r="A58" s="505" t="s">
        <v>2501</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ht="15">
      <c r="A59" s="509"/>
      <c r="B59" s="510"/>
      <c r="C59" s="1568">
        <v>100</v>
      </c>
      <c r="D59" s="512">
        <v>99</v>
      </c>
      <c r="E59" s="512">
        <v>98</v>
      </c>
      <c r="F59" s="512">
        <v>97</v>
      </c>
      <c r="G59" s="512">
        <v>96</v>
      </c>
      <c r="H59" s="512">
        <v>95</v>
      </c>
      <c r="I59" s="512">
        <v>94</v>
      </c>
      <c r="J59" s="512">
        <v>93</v>
      </c>
      <c r="K59" s="512">
        <v>92</v>
      </c>
      <c r="L59" s="512">
        <v>91</v>
      </c>
      <c r="M59" s="512">
        <v>90</v>
      </c>
      <c r="N59" s="512">
        <v>89</v>
      </c>
      <c r="O59" s="512">
        <v>88</v>
      </c>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2503</v>
      </c>
      <c r="B61" s="510"/>
      <c r="C61" s="522" t="s">
        <v>2605</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t="str">
        <f>C9</f>
        <v>商业</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6"/>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ht="15">
      <c r="A68" s="534"/>
      <c r="B68" s="548"/>
      <c r="C68" s="549" t="s">
        <v>3082</v>
      </c>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5.75" thickTop="1">
      <c r="A70" s="553"/>
      <c r="B70" s="538">
        <f>B12</f>
        <v>0</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0</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36"/>
      <c r="E73" s="536"/>
      <c r="F73" s="536"/>
      <c r="G73" s="560"/>
      <c r="H73" s="562"/>
      <c r="I73" s="562"/>
      <c r="J73" s="562"/>
      <c r="K73" s="562"/>
      <c r="L73" s="562"/>
      <c r="M73" s="563"/>
      <c r="N73" s="1150"/>
      <c r="O73" s="1150"/>
      <c r="P73" s="2627"/>
      <c r="Q73" s="559"/>
    </row>
    <row r="74" spans="1:17" s="471" customFormat="1" ht="15.75" thickTop="1">
      <c r="A74" s="553"/>
      <c r="B74" s="546">
        <f>B14</f>
        <v>0</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6"/>
      <c r="Q81" s="504"/>
    </row>
    <row r="82" spans="1:17" ht="15.75" thickTop="1">
      <c r="A82" s="534"/>
      <c r="B82" s="546" t="s">
        <v>2608</v>
      </c>
      <c r="C82" s="660" t="s">
        <v>2628</v>
      </c>
      <c r="D82" s="660" t="s">
        <v>2629</v>
      </c>
      <c r="E82" s="660" t="s">
        <v>2630</v>
      </c>
      <c r="F82" s="660" t="s">
        <v>2631</v>
      </c>
      <c r="G82" s="660" t="s">
        <v>2632</v>
      </c>
      <c r="H82" s="539"/>
      <c r="I82" s="539"/>
      <c r="J82" s="539"/>
      <c r="K82" s="539"/>
      <c r="L82" s="539"/>
      <c r="M82" s="1378"/>
      <c r="N82" s="1149"/>
      <c r="O82" s="1149"/>
      <c r="P82" s="262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6"/>
      <c r="Q85" s="504"/>
    </row>
    <row r="86" spans="1:17" s="117" customFormat="1" ht="15.75" thickTop="1">
      <c r="A86" s="579"/>
      <c r="B86" s="538" t="s">
        <v>2633</v>
      </c>
      <c r="C86" s="2970" t="s">
        <v>3087</v>
      </c>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6"/>
      <c r="Q87" s="504"/>
    </row>
    <row r="88" spans="1:17" s="117" customFormat="1" ht="15.75" thickTop="1">
      <c r="A88" s="579"/>
      <c r="B88" s="538" t="str">
        <f>B26</f>
        <v>平面位置/可视性</v>
      </c>
      <c r="C88" s="2970" t="s">
        <v>3083</v>
      </c>
      <c r="D88" s="554"/>
      <c r="E88" s="554"/>
      <c r="F88" s="2631"/>
      <c r="G88" s="554"/>
      <c r="H88" s="554"/>
      <c r="I88" s="554"/>
      <c r="J88" s="554"/>
      <c r="K88" s="554"/>
      <c r="L88" s="554"/>
      <c r="M88" s="581"/>
      <c r="N88" s="1147"/>
      <c r="O88" s="1147"/>
      <c r="P88" s="2626"/>
      <c r="Q88" s="504"/>
    </row>
    <row r="89" spans="1:17" s="117" customFormat="1" ht="15.75" thickBot="1">
      <c r="A89" s="579"/>
      <c r="B89" s="543"/>
      <c r="C89" s="560">
        <v>100</v>
      </c>
      <c r="D89" s="536"/>
      <c r="E89" s="536"/>
      <c r="F89" s="536"/>
      <c r="G89" s="536"/>
      <c r="H89" s="536"/>
      <c r="I89" s="536"/>
      <c r="J89" s="536"/>
      <c r="K89" s="536"/>
      <c r="L89" s="536"/>
      <c r="M89" s="536"/>
      <c r="N89" s="1149"/>
      <c r="O89" s="1149"/>
      <c r="P89" s="2626"/>
      <c r="Q89" s="504"/>
    </row>
    <row r="90" spans="1:17" s="471" customFormat="1" ht="15.75" thickTop="1">
      <c r="A90" s="553"/>
      <c r="B90" s="538" t="str">
        <f>B27</f>
        <v>人流量</v>
      </c>
      <c r="C90" s="2970" t="s">
        <v>3085</v>
      </c>
      <c r="D90" s="554"/>
      <c r="E90" s="554"/>
      <c r="F90" s="554"/>
      <c r="G90" s="554"/>
      <c r="H90" s="555"/>
      <c r="I90" s="555"/>
      <c r="J90" s="555"/>
      <c r="K90" s="555"/>
      <c r="L90" s="556"/>
      <c r="M90" s="557"/>
      <c r="N90" s="1150"/>
      <c r="O90" s="1150"/>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7"/>
      <c r="Q91" s="559"/>
    </row>
    <row r="92" spans="1:17" ht="15.75" thickTop="1">
      <c r="A92" s="534"/>
      <c r="B92" s="538" t="str">
        <f>B28</f>
        <v>楼层</v>
      </c>
      <c r="C92" s="2970" t="s">
        <v>3098</v>
      </c>
      <c r="D92" s="554"/>
      <c r="E92" s="554"/>
      <c r="F92" s="554"/>
      <c r="G92" s="554"/>
      <c r="H92" s="554"/>
      <c r="I92" s="554"/>
      <c r="J92" s="554"/>
      <c r="K92" s="554"/>
      <c r="L92" s="580"/>
      <c r="M92" s="581"/>
      <c r="N92" s="1148"/>
      <c r="O92" s="1148"/>
      <c r="P92" s="2626"/>
      <c r="Q92" s="504"/>
    </row>
    <row r="93" spans="1:17" ht="15.75" thickBot="1">
      <c r="A93" s="534"/>
      <c r="B93" s="543"/>
      <c r="C93" s="536">
        <v>100</v>
      </c>
      <c r="D93" s="536"/>
      <c r="E93" s="536"/>
      <c r="F93" s="536"/>
      <c r="G93" s="536"/>
      <c r="H93" s="536"/>
      <c r="I93" s="536"/>
      <c r="J93" s="536"/>
      <c r="K93" s="536"/>
      <c r="L93" s="536"/>
      <c r="M93" s="537"/>
      <c r="N93" s="1149"/>
      <c r="O93" s="1149"/>
      <c r="P93" s="2626"/>
      <c r="Q93" s="504"/>
    </row>
    <row r="94" spans="1:17" ht="15.75" thickTop="1">
      <c r="A94" s="534"/>
      <c r="B94" s="538">
        <f>B29</f>
        <v>0</v>
      </c>
      <c r="C94" s="554"/>
      <c r="D94" s="554"/>
      <c r="E94" s="554"/>
      <c r="F94" s="554"/>
      <c r="G94" s="583"/>
      <c r="H94" s="583"/>
      <c r="I94" s="583"/>
      <c r="J94" s="583"/>
      <c r="K94" s="584"/>
      <c r="L94" s="585"/>
      <c r="M94" s="586"/>
      <c r="N94" s="1148"/>
      <c r="O94" s="1148"/>
      <c r="P94" s="2626"/>
      <c r="Q94" s="504"/>
    </row>
    <row r="95" spans="1:17" ht="15.75" thickBot="1">
      <c r="A95" s="534"/>
      <c r="B95" s="543"/>
      <c r="C95" s="560"/>
      <c r="D95" s="536"/>
      <c r="E95" s="536"/>
      <c r="F95" s="536"/>
      <c r="G95" s="536"/>
      <c r="H95" s="536"/>
      <c r="I95" s="536"/>
      <c r="J95" s="536"/>
      <c r="K95" s="536"/>
      <c r="L95" s="536"/>
      <c r="M95" s="537"/>
      <c r="N95" s="1149"/>
      <c r="O95" s="1149"/>
      <c r="P95" s="2626"/>
      <c r="Q95" s="504"/>
    </row>
    <row r="96" spans="1:17" ht="15.75" thickTop="1">
      <c r="A96" s="534"/>
      <c r="B96" s="538">
        <f>B30</f>
        <v>0</v>
      </c>
      <c r="C96" s="554"/>
      <c r="D96" s="554"/>
      <c r="E96" s="554"/>
      <c r="F96" s="554"/>
      <c r="G96" s="583"/>
      <c r="H96" s="583"/>
      <c r="I96" s="583"/>
      <c r="J96" s="583"/>
      <c r="K96" s="584"/>
      <c r="L96" s="585"/>
      <c r="M96" s="586"/>
      <c r="N96" s="1148"/>
      <c r="O96" s="1148"/>
      <c r="P96" s="2626"/>
      <c r="Q96" s="504"/>
    </row>
    <row r="97" spans="1:17" ht="15.75" thickBot="1">
      <c r="A97" s="534"/>
      <c r="B97" s="543"/>
      <c r="C97" s="560"/>
      <c r="D97" s="536"/>
      <c r="E97" s="536"/>
      <c r="F97" s="536"/>
      <c r="G97" s="536"/>
      <c r="H97" s="536"/>
      <c r="I97" s="536"/>
      <c r="J97" s="536"/>
      <c r="K97" s="536"/>
      <c r="L97" s="536"/>
      <c r="M97" s="537"/>
      <c r="N97" s="1149"/>
      <c r="O97" s="1149"/>
      <c r="P97" s="2626"/>
      <c r="Q97" s="504"/>
    </row>
    <row r="98" spans="1:17" ht="15.75" thickTop="1">
      <c r="A98" s="534"/>
      <c r="B98" s="546">
        <f>B31</f>
        <v>0</v>
      </c>
      <c r="C98" s="554"/>
      <c r="D98" s="554"/>
      <c r="E98" s="554"/>
      <c r="F98" s="554"/>
      <c r="G98" s="587"/>
      <c r="H98" s="587"/>
      <c r="I98" s="587"/>
      <c r="J98" s="587"/>
      <c r="K98" s="588"/>
      <c r="L98" s="589"/>
      <c r="M98" s="590"/>
      <c r="N98" s="1148"/>
      <c r="O98" s="1148"/>
      <c r="P98" s="2626"/>
      <c r="Q98" s="504"/>
    </row>
    <row r="99" spans="1:17" ht="15.75" thickBot="1">
      <c r="A99" s="2632"/>
      <c r="B99" s="569"/>
      <c r="C99" s="570"/>
      <c r="D99" s="570"/>
      <c r="E99" s="570"/>
      <c r="F99" s="570"/>
      <c r="G99" s="591"/>
      <c r="H99" s="591"/>
      <c r="I99" s="591"/>
      <c r="J99" s="591"/>
      <c r="K99" s="591"/>
      <c r="L99" s="591"/>
      <c r="M99" s="592"/>
      <c r="N99" s="1149"/>
      <c r="O99" s="1149"/>
      <c r="P99" s="2626"/>
      <c r="Q99" s="504"/>
    </row>
    <row r="100" spans="1:17">
      <c r="A100" s="527" t="s">
        <v>2516</v>
      </c>
      <c r="B100" s="528" t="s">
        <v>2634</v>
      </c>
      <c r="C100" s="2969" t="s">
        <v>3441</v>
      </c>
      <c r="D100" s="2969" t="s">
        <v>3089</v>
      </c>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6"/>
      <c r="Q101" s="504"/>
    </row>
    <row r="102" spans="1:17" ht="15.75" thickTop="1">
      <c r="A102" s="534"/>
      <c r="B102" s="538" t="s">
        <v>2566</v>
      </c>
      <c r="C102" s="578" t="str">
        <f>C103&amp;"(含)"&amp;"-"&amp;D103</f>
        <v>0(含)-5000</v>
      </c>
      <c r="D102" s="578" t="str">
        <f t="shared" ref="D102:L102" si="23">D103&amp;"(含)"&amp;"-"&amp;E103</f>
        <v>5000(含)-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5000</v>
      </c>
      <c r="E103" s="595"/>
      <c r="F103" s="595"/>
      <c r="G103" s="595"/>
      <c r="H103" s="595"/>
      <c r="I103" s="595"/>
      <c r="J103" s="596"/>
      <c r="K103" s="596"/>
      <c r="L103" s="597"/>
      <c r="M103" s="598"/>
      <c r="N103" s="1150"/>
      <c r="O103" s="1150"/>
      <c r="P103" s="2627"/>
      <c r="Q103" s="559"/>
    </row>
    <row r="104" spans="1:17" s="471" customFormat="1" ht="15.75"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2567</v>
      </c>
      <c r="C105" s="2970" t="s">
        <v>3090</v>
      </c>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6"/>
      <c r="Q106" s="504"/>
    </row>
    <row r="107" spans="1:17" ht="15" thickTop="1">
      <c r="A107" s="599"/>
      <c r="B107" s="538" t="s">
        <v>2569</v>
      </c>
      <c r="C107" s="2970" t="s">
        <v>3091</v>
      </c>
      <c r="D107" s="554"/>
      <c r="E107" s="554"/>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6"/>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6"/>
      <c r="Q111" s="504"/>
    </row>
    <row r="112" spans="1:17" s="471" customFormat="1" ht="15" thickTop="1">
      <c r="A112" s="593"/>
      <c r="B112" s="538" t="s">
        <v>2571</v>
      </c>
      <c r="C112" s="2970" t="s">
        <v>3092</v>
      </c>
      <c r="D112" s="554"/>
      <c r="E112" s="554"/>
      <c r="F112" s="554"/>
      <c r="G112" s="554"/>
      <c r="H112" s="583"/>
      <c r="I112" s="583"/>
      <c r="J112" s="583"/>
      <c r="K112" s="584"/>
      <c r="L112" s="585"/>
      <c r="M112" s="586"/>
      <c r="N112" s="1150"/>
      <c r="O112" s="1150"/>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7"/>
      <c r="Q113" s="559"/>
    </row>
    <row r="114" spans="1:17" ht="15" thickTop="1">
      <c r="A114" s="599"/>
      <c r="B114" s="538" t="s">
        <v>2635</v>
      </c>
      <c r="C114" s="2970" t="s">
        <v>3094</v>
      </c>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6"/>
      <c r="Q115" s="504"/>
    </row>
    <row r="116" spans="1:17" ht="15" thickTop="1">
      <c r="A116" s="599"/>
      <c r="B116" s="538" t="s">
        <v>2636</v>
      </c>
      <c r="C116" s="2970" t="s">
        <v>3095</v>
      </c>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6"/>
      <c r="Q117" s="504"/>
    </row>
    <row r="118" spans="1:17" ht="15" thickTop="1">
      <c r="A118" s="599"/>
      <c r="B118" s="538" t="s">
        <v>2637</v>
      </c>
      <c r="C118" s="627" t="s">
        <v>3082</v>
      </c>
      <c r="D118" s="627"/>
      <c r="E118" s="627"/>
      <c r="F118" s="627"/>
      <c r="G118" s="627"/>
      <c r="H118" s="555"/>
      <c r="I118" s="555"/>
      <c r="J118" s="555"/>
      <c r="K118" s="555"/>
      <c r="L118" s="556"/>
      <c r="M118" s="557"/>
      <c r="N118" s="1148"/>
      <c r="O118" s="1148"/>
      <c r="P118" s="2626"/>
      <c r="Q118" s="504"/>
    </row>
    <row r="119" spans="1:17" ht="15.75" thickBot="1">
      <c r="A119" s="534"/>
      <c r="B119" s="543"/>
      <c r="C119" s="560">
        <v>100</v>
      </c>
      <c r="D119" s="536"/>
      <c r="E119" s="536"/>
      <c r="F119" s="536"/>
      <c r="G119" s="536"/>
      <c r="H119" s="536"/>
      <c r="I119" s="536"/>
      <c r="J119" s="536"/>
      <c r="K119" s="536"/>
      <c r="L119" s="536"/>
      <c r="M119" s="537"/>
      <c r="N119" s="1149"/>
      <c r="O119" s="1149"/>
      <c r="P119" s="2626"/>
      <c r="Q119" s="504"/>
    </row>
    <row r="120" spans="1:17" s="471" customFormat="1" ht="15" thickTop="1">
      <c r="A120" s="593"/>
      <c r="B120" s="538" t="s">
        <v>2638</v>
      </c>
      <c r="C120" s="2971" t="s">
        <v>3083</v>
      </c>
      <c r="D120" s="583"/>
      <c r="E120" s="583"/>
      <c r="F120" s="583"/>
      <c r="G120" s="555"/>
      <c r="H120" s="555"/>
      <c r="I120" s="555"/>
      <c r="J120" s="555"/>
      <c r="K120" s="555"/>
      <c r="L120" s="556"/>
      <c r="M120" s="557"/>
      <c r="N120" s="1150"/>
      <c r="O120" s="1150"/>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7"/>
      <c r="Q121" s="559"/>
    </row>
    <row r="122" spans="1:17" ht="15" thickTop="1">
      <c r="A122" s="599"/>
      <c r="B122" s="538" t="s">
        <v>2573</v>
      </c>
      <c r="C122" s="2970" t="s">
        <v>3091</v>
      </c>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6"/>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0</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36"/>
      <c r="E129" s="536"/>
      <c r="F129" s="536"/>
      <c r="G129" s="536"/>
      <c r="H129" s="536"/>
      <c r="I129" s="536"/>
      <c r="J129" s="536"/>
      <c r="K129" s="536"/>
      <c r="L129" s="536"/>
      <c r="M129" s="537"/>
      <c r="N129" s="1149"/>
      <c r="O129" s="1149"/>
      <c r="P129" s="2626"/>
      <c r="Q129" s="504"/>
    </row>
    <row r="130" spans="1:17" ht="15" thickTop="1">
      <c r="A130" s="599"/>
      <c r="B130" s="546">
        <f>B46</f>
        <v>0</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80" zoomScaleNormal="8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3039</v>
      </c>
      <c r="D1" s="1815" t="s">
        <v>70</v>
      </c>
      <c r="E1" s="1816" t="s">
        <v>1378</v>
      </c>
      <c r="F1" s="1279">
        <f ca="1">J53</f>
        <v>14.76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6404</v>
      </c>
      <c r="C2" s="1840" t="s">
        <v>1507</v>
      </c>
      <c r="D2" s="1840"/>
      <c r="E2" s="1841"/>
      <c r="F2" s="1842"/>
      <c r="G2" s="1843"/>
      <c r="H2" s="1835"/>
      <c r="I2" s="1835"/>
      <c r="J2" s="1835"/>
      <c r="K2" s="1836"/>
      <c r="L2" s="1835"/>
      <c r="M2" s="1835"/>
    </row>
    <row r="3" spans="1:37" ht="18" customHeight="1" thickBot="1">
      <c r="A3" s="1844" t="s">
        <v>1508</v>
      </c>
      <c r="B3" s="1845">
        <f ca="1">IF(ISERROR(B2*10000/F43),0,ROUND(B2*10000/F43,0))</f>
        <v>26634</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633</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632</v>
      </c>
      <c r="D6" s="164" t="s">
        <v>2981</v>
      </c>
      <c r="E6" s="347" t="s">
        <v>1396</v>
      </c>
      <c r="F6" s="348">
        <f ca="1">INDIRECT("'数据-取费表'!u"&amp;$G$1)</f>
        <v>8</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2404.44</v>
      </c>
      <c r="G7" s="1846"/>
      <c r="H7" s="349"/>
      <c r="I7" s="3274"/>
      <c r="J7" s="351"/>
      <c r="K7" s="352"/>
      <c r="L7" s="347" t="s">
        <v>1397</v>
      </c>
      <c r="M7" s="348">
        <f ca="1">F7</f>
        <v>2404.44</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698</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721</v>
      </c>
      <c r="D14" s="1795" t="s">
        <v>1409</v>
      </c>
      <c r="E14" s="1789"/>
      <c r="F14" s="364"/>
      <c r="G14" s="1846"/>
      <c r="H14" s="1197" t="s">
        <v>1031</v>
      </c>
      <c r="I14" s="347" t="s">
        <v>1410</v>
      </c>
      <c r="J14" s="24">
        <f ca="1">C29</f>
        <v>1126</v>
      </c>
      <c r="K14" s="15"/>
      <c r="L14" s="975"/>
      <c r="M14" s="976"/>
    </row>
    <row r="15" spans="1:37" s="1853" customFormat="1" ht="18" customHeight="1" thickBot="1">
      <c r="A15" s="1197" t="s">
        <v>1032</v>
      </c>
      <c r="B15" s="347" t="s">
        <v>1411</v>
      </c>
      <c r="C15" s="24">
        <f ca="1">ROUND(C14*F15,0)</f>
        <v>36</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27</v>
      </c>
      <c r="K16" s="1333" t="s">
        <v>1416</v>
      </c>
      <c r="L16" s="1334"/>
      <c r="M16" s="1290"/>
    </row>
    <row r="17" spans="1:37" s="1853" customFormat="1" ht="18" customHeight="1">
      <c r="A17" s="1197" t="s">
        <v>1381</v>
      </c>
      <c r="B17" s="347" t="s">
        <v>1417</v>
      </c>
      <c r="C17" s="24">
        <f ca="1">ROUND(F17*(F43+INDIRECT("'数据-取费表'!S"&amp;$G$1))/10000,0)</f>
        <v>48</v>
      </c>
      <c r="D17" s="347" t="s">
        <v>1418</v>
      </c>
      <c r="E17" s="347" t="s">
        <v>1419</v>
      </c>
      <c r="F17" s="26">
        <f>'数据-取费表'!B35</f>
        <v>200</v>
      </c>
      <c r="G17" s="1849"/>
      <c r="H17" s="1197" t="s">
        <v>1031</v>
      </c>
      <c r="I17" s="347" t="s">
        <v>1420</v>
      </c>
      <c r="J17" s="24">
        <f ca="1">ROUND(IF(项目基本情况!B11="自然人",J6*M17/(1+'数据-取费表'!C42),J18+J19+J20),1)</f>
        <v>9.9</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11</v>
      </c>
      <c r="D18" s="347" t="s">
        <v>1412</v>
      </c>
      <c r="E18" s="347" t="s">
        <v>1413</v>
      </c>
      <c r="F18" s="367">
        <f>'数据-取费表'!B36</f>
        <v>1.4999999999999999E-2</v>
      </c>
      <c r="G18" s="1849"/>
      <c r="H18" s="1197"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816</v>
      </c>
      <c r="D19" s="140" t="s">
        <v>1427</v>
      </c>
      <c r="E19" s="1813"/>
      <c r="F19" s="26"/>
      <c r="G19" s="1846"/>
      <c r="H19" s="1197" t="s">
        <v>1032</v>
      </c>
      <c r="I19" s="347" t="s">
        <v>1428</v>
      </c>
      <c r="J19" s="24">
        <f ca="1">IF(K19="按租金收入计税",ROUND(J6*M19/(1+'数据-取费表'!C42),2),ROUND(C29*M19*0.7,2))</f>
        <v>9.4600000000000009</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16</v>
      </c>
      <c r="D20" s="369" t="s">
        <v>1431</v>
      </c>
      <c r="E20" s="347" t="s">
        <v>1413</v>
      </c>
      <c r="F20" s="367">
        <f>'数据-取费表'!B37</f>
        <v>0.02</v>
      </c>
      <c r="G20" s="1849"/>
      <c r="H20" s="1197" t="s">
        <v>1380</v>
      </c>
      <c r="I20" s="164" t="s">
        <v>1432</v>
      </c>
      <c r="J20" s="25">
        <f ca="1">ROUND(M20*M21/10000,2)</f>
        <v>0.44</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246.21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ROUND(J14*M22,1)</f>
        <v>16.899999999999999</v>
      </c>
      <c r="K22" s="179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1793"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1813"/>
      <c r="F25" s="26"/>
      <c r="G25" s="1846"/>
      <c r="H25" s="1325" t="s">
        <v>1027</v>
      </c>
      <c r="I25" s="1340" t="s">
        <v>1454</v>
      </c>
      <c r="J25" s="355">
        <f ca="1">J5-J16</f>
        <v>-27</v>
      </c>
      <c r="K25" s="1341" t="s">
        <v>1455</v>
      </c>
      <c r="L25" s="1342"/>
      <c r="M25" s="1343"/>
    </row>
    <row r="26" spans="1:37">
      <c r="A26" s="1197" t="s">
        <v>1030</v>
      </c>
      <c r="B26" s="347" t="s">
        <v>1456</v>
      </c>
      <c r="C26" s="24">
        <f ca="1">ROUND((C19+C20)*F26,0)</f>
        <v>166</v>
      </c>
      <c r="D26" s="369" t="s">
        <v>1457</v>
      </c>
      <c r="E26" s="358" t="s">
        <v>1458</v>
      </c>
      <c r="F26" s="357">
        <f ca="1">INDIRECT("'数据-取费表'!q"&amp;$G$1)</f>
        <v>0.2</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4.0000000000000001E-3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1126</v>
      </c>
      <c r="D29" s="1338"/>
      <c r="E29" s="1336"/>
      <c r="F29" s="1339"/>
      <c r="G29" s="1849"/>
      <c r="H29" s="380" t="s">
        <v>1029</v>
      </c>
      <c r="I29" s="381" t="s">
        <v>1470</v>
      </c>
      <c r="J29" s="382">
        <f ca="1">ROUND(J26/(1+F40)^F41,0)</f>
        <v>0</v>
      </c>
      <c r="K29" s="383" t="s">
        <v>1471</v>
      </c>
      <c r="L29" s="384"/>
      <c r="M29" s="385">
        <f ca="1">INDIRECT("'数据-取费表'!k"&amp;$G$1)</f>
        <v>2404.44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131</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ROUND(IF(项目基本情况!B11="自然人",C6*F31/(1+'数据-取费表'!C42),C32+C33+C34),1)</f>
        <v>106.4</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33.71</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72.23</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0.44</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246.21</v>
      </c>
      <c r="G35" s="1846"/>
      <c r="H35" s="745"/>
      <c r="I35" s="1855"/>
      <c r="J35" s="1856"/>
      <c r="K35" s="1857"/>
      <c r="L35" s="1854"/>
      <c r="M35" s="1854"/>
    </row>
    <row r="36" spans="1:18" ht="18" customHeight="1">
      <c r="A36" s="1348" t="s">
        <v>1035</v>
      </c>
      <c r="B36" s="347" t="s">
        <v>1440</v>
      </c>
      <c r="C36" s="24">
        <f ca="1">ROUND(C29*F36,1)</f>
        <v>16.899999999999999</v>
      </c>
      <c r="D36" s="179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v>
      </c>
      <c r="D37" s="1793" t="s">
        <v>1445</v>
      </c>
      <c r="E37" s="347" t="s">
        <v>1446</v>
      </c>
      <c r="F37" s="376">
        <f ca="1">INDIRECT("'数据-取费表'!Al"&amp;$G$1)</f>
        <v>1.5E-3</v>
      </c>
      <c r="G37" s="1846"/>
      <c r="H37" s="1854"/>
      <c r="I37" s="1855"/>
      <c r="J37" s="1856"/>
      <c r="K37" s="751"/>
      <c r="L37" s="1854"/>
      <c r="M37" s="1854"/>
    </row>
    <row r="38" spans="1:18" ht="18" customHeight="1" thickBot="1">
      <c r="A38" s="1335" t="s">
        <v>1384</v>
      </c>
      <c r="B38" s="1336" t="s">
        <v>1430</v>
      </c>
      <c r="C38" s="1337">
        <f ca="1">ROUND(C5*F38,1)</f>
        <v>6.3</v>
      </c>
      <c r="D38" s="1338" t="s">
        <v>1450</v>
      </c>
      <c r="E38" s="1336" t="s">
        <v>1446</v>
      </c>
      <c r="F38" s="1332">
        <f ca="1">INDIRECT("'数据-取费表'!Am"&amp;$G$1)</f>
        <v>0.01</v>
      </c>
      <c r="G38" s="1846"/>
      <c r="H38" s="1854"/>
      <c r="I38" s="1855"/>
      <c r="J38" s="1856"/>
      <c r="K38" s="1860"/>
      <c r="L38" s="1854"/>
      <c r="M38" s="1854"/>
    </row>
    <row r="39" spans="1:18" ht="24.6" customHeight="1" thickTop="1">
      <c r="A39" s="1325" t="s">
        <v>1027</v>
      </c>
      <c r="B39" s="1340" t="s">
        <v>1474</v>
      </c>
      <c r="C39" s="355">
        <f ca="1">C5-C30</f>
        <v>502</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6404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14.76</v>
      </c>
      <c r="G41" s="1846"/>
      <c r="H41" s="732"/>
      <c r="I41" s="1855"/>
      <c r="J41" s="1856"/>
      <c r="K41" s="751"/>
      <c r="L41" s="732"/>
      <c r="M41" s="732"/>
    </row>
    <row r="42" spans="1:18" ht="18" customHeight="1">
      <c r="A42" s="353"/>
      <c r="B42" s="354"/>
      <c r="C42" s="355"/>
      <c r="D42" s="373"/>
      <c r="E42" s="347" t="s">
        <v>1468</v>
      </c>
      <c r="F42" s="357">
        <f ca="1">INDIRECT("'数据-取费表'!v"&amp;$G$1)</f>
        <v>3.5000000000000003E-2</v>
      </c>
      <c r="G42" s="1846"/>
      <c r="H42" s="732"/>
      <c r="I42" s="1855"/>
      <c r="J42" s="1856"/>
      <c r="K42" s="751"/>
      <c r="L42" s="732"/>
      <c r="M42" s="732"/>
    </row>
    <row r="43" spans="1:18" ht="18" customHeight="1" thickBot="1">
      <c r="A43" s="380" t="s">
        <v>1029</v>
      </c>
      <c r="B43" s="381" t="s">
        <v>1478</v>
      </c>
      <c r="C43" s="382">
        <f ca="1">ROUND(C40*10000/F43,0)</f>
        <v>26634</v>
      </c>
      <c r="D43" s="383" t="s">
        <v>1479</v>
      </c>
      <c r="E43" s="384" t="s">
        <v>1480</v>
      </c>
      <c r="F43" s="385">
        <f ca="1">INDIRECT("'数据-取费表'!k"&amp;$G$1)</f>
        <v>2404.44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-7564</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40</v>
      </c>
      <c r="M47" s="1833" t="str">
        <f>IF(ISNUMBER(FIND("住宅",C1)),"住宅","非住宅")</f>
        <v>非住宅</v>
      </c>
      <c r="O47" s="1879" t="s">
        <v>1036</v>
      </c>
      <c r="P47" s="1880" t="s">
        <v>1519</v>
      </c>
      <c r="Q47" s="1881">
        <f ca="1">C40+J29</f>
        <v>6404</v>
      </c>
      <c r="R47" s="1881" t="s">
        <v>1520</v>
      </c>
    </row>
    <row r="48" spans="1:18" s="1837" customFormat="1" ht="28.5" thickBot="1">
      <c r="A48" s="1356" t="s">
        <v>1131</v>
      </c>
      <c r="B48" s="345" t="s">
        <v>1392</v>
      </c>
      <c r="C48" s="1812">
        <f ca="1">C49+C53+C55</f>
        <v>0</v>
      </c>
      <c r="D48" s="1358"/>
      <c r="E48" s="1359"/>
      <c r="F48" s="1177"/>
      <c r="G48" s="792"/>
      <c r="H48" s="793"/>
      <c r="I48" s="1882" t="s">
        <v>1521</v>
      </c>
      <c r="J48" s="1883" t="s">
        <v>3077</v>
      </c>
      <c r="K48" s="1884" t="s">
        <v>1522</v>
      </c>
      <c r="L48" s="1885">
        <f ca="1">INDIRECT("'数据-取费表'!f"&amp;$G$1)</f>
        <v>14.76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1126</v>
      </c>
      <c r="R49" s="1881" t="s">
        <v>1520</v>
      </c>
    </row>
    <row r="50" spans="1:18" s="1837" customFormat="1" ht="13.5" thickBot="1">
      <c r="A50" s="1191"/>
      <c r="B50" s="1194"/>
      <c r="C50" s="1364"/>
      <c r="D50" s="1168"/>
      <c r="E50" s="1273" t="s">
        <v>1397</v>
      </c>
      <c r="F50" s="1274">
        <f ca="1">F7</f>
        <v>2404.44</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4700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14.76</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14.76</v>
      </c>
      <c r="K53" s="3276" t="s">
        <v>1539</v>
      </c>
      <c r="L53" s="3277"/>
      <c r="O53" s="1879" t="s">
        <v>1042</v>
      </c>
      <c r="P53" s="1880" t="s">
        <v>1540</v>
      </c>
      <c r="Q53" s="1881">
        <f ca="1">Q47+Q48</f>
        <v>6404</v>
      </c>
      <c r="R53" s="1881" t="s">
        <v>1043</v>
      </c>
    </row>
    <row r="54" spans="1:18" s="1837" customFormat="1" ht="13.5" thickBot="1">
      <c r="A54" s="1402"/>
      <c r="B54" s="1820" t="s">
        <v>1379</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698</v>
      </c>
      <c r="D56" s="1908"/>
      <c r="E56" s="1909"/>
      <c r="F56" s="1901"/>
      <c r="I56" s="1910" t="s">
        <v>1545</v>
      </c>
      <c r="J56" s="1911" t="s">
        <v>3034</v>
      </c>
      <c r="K56" s="1882" t="s">
        <v>1546</v>
      </c>
      <c r="L56" s="1885" t="str">
        <f ca="1">IF(L48&lt;J51,"——",L48-J53)</f>
        <v>——</v>
      </c>
      <c r="O56" s="1879" t="s">
        <v>1036</v>
      </c>
      <c r="P56" s="1880" t="s">
        <v>1519</v>
      </c>
      <c r="Q56" s="1881">
        <f ca="1">C40+J29</f>
        <v>6404</v>
      </c>
      <c r="R56" s="1881" t="s">
        <v>1520</v>
      </c>
    </row>
    <row r="57" spans="1:18" s="1837" customFormat="1" ht="24.75" thickBot="1">
      <c r="A57" s="1912"/>
      <c r="B57" s="1165" t="s">
        <v>1469</v>
      </c>
      <c r="C57" s="282">
        <f ca="1">C29</f>
        <v>1126</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113</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95</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IF(项目基本情况!B11="自然人","——",IF(D61="按租金收入计税",ROUND(C48*F61,2),IF(D61="按房产原值计税",ROUND(C57*F61*0.7,2),INDIRECT("'数据-取费表'!Aj"&amp;$G$1))))</f>
        <v>94.58</v>
      </c>
      <c r="D61" s="1823" t="s">
        <v>1429</v>
      </c>
      <c r="E61" s="1165" t="s">
        <v>1485</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1487</v>
      </c>
      <c r="C62" s="25">
        <f ca="1">IF(项目基本情况!B11="自然人","——",ROUND(F62*F63/10000,2))</f>
        <v>0.44</v>
      </c>
      <c r="D62" s="1180" t="s">
        <v>1488</v>
      </c>
      <c r="E62" s="1165" t="s">
        <v>1489</v>
      </c>
      <c r="F62" s="371">
        <f t="shared" si="0"/>
        <v>18</v>
      </c>
      <c r="I62" s="1923" t="s">
        <v>1561</v>
      </c>
      <c r="J62" s="1924" t="s">
        <v>1562</v>
      </c>
      <c r="K62" s="1924" t="s">
        <v>1563</v>
      </c>
      <c r="L62" s="1924" t="s">
        <v>1564</v>
      </c>
      <c r="M62" s="1925" t="s">
        <v>1565</v>
      </c>
      <c r="O62" s="1879" t="s">
        <v>1042</v>
      </c>
      <c r="P62" s="1880" t="s">
        <v>1566</v>
      </c>
      <c r="Q62" s="1881">
        <f ca="1">Q56+Q57</f>
        <v>6404</v>
      </c>
      <c r="R62" s="1881" t="s">
        <v>1043</v>
      </c>
    </row>
    <row r="63" spans="1:18" s="1837" customFormat="1" ht="13.5" thickBot="1">
      <c r="A63" s="372"/>
      <c r="B63" s="1171"/>
      <c r="C63" s="29"/>
      <c r="D63" s="1181"/>
      <c r="E63" s="1165" t="s">
        <v>1490</v>
      </c>
      <c r="F63" s="348">
        <f t="shared" ca="1" si="0"/>
        <v>246.21</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ROUND(C57*F64,1)</f>
        <v>16.899999999999999</v>
      </c>
      <c r="D64" s="1179" t="s">
        <v>1493</v>
      </c>
      <c r="E64" s="1165"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1</v>
      </c>
      <c r="D65" s="1179" t="s">
        <v>1445</v>
      </c>
      <c r="E65" s="1165" t="s">
        <v>1446</v>
      </c>
      <c r="F65" s="376">
        <f t="shared" ca="1" si="0"/>
        <v>1.5E-3</v>
      </c>
      <c r="I65" s="1923" t="s">
        <v>1570</v>
      </c>
      <c r="J65" s="1924">
        <v>40</v>
      </c>
      <c r="K65" s="1924">
        <v>30</v>
      </c>
      <c r="L65" s="1924">
        <v>50</v>
      </c>
      <c r="M65" s="1926">
        <v>0.02</v>
      </c>
      <c r="O65" s="1879" t="s">
        <v>1036</v>
      </c>
      <c r="P65" s="1880" t="s">
        <v>1571</v>
      </c>
      <c r="Q65" s="1881">
        <f ca="1">C40+J29</f>
        <v>6404</v>
      </c>
      <c r="R65" s="1881" t="s">
        <v>1520</v>
      </c>
    </row>
    <row r="66" spans="1:18" s="1837" customFormat="1" ht="16.5" thickBot="1">
      <c r="A66" s="1197" t="s">
        <v>1495</v>
      </c>
      <c r="B66" s="1165" t="s">
        <v>1430</v>
      </c>
      <c r="C66" s="24">
        <f ca="1">ROUND(C48*F66,1)</f>
        <v>0</v>
      </c>
      <c r="D66" s="1179" t="s">
        <v>1496</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-113</v>
      </c>
      <c r="D67" s="1178" t="s">
        <v>1455</v>
      </c>
      <c r="E67" s="1183"/>
      <c r="F67" s="1184"/>
      <c r="O67" s="1889" t="s">
        <v>1038</v>
      </c>
      <c r="P67" s="1880" t="s">
        <v>1553</v>
      </c>
      <c r="Q67" s="1927">
        <f ca="1">L51</f>
        <v>4700</v>
      </c>
      <c r="R67" s="1881" t="s">
        <v>1573</v>
      </c>
    </row>
    <row r="68" spans="1:18" s="1837" customFormat="1" ht="16.5" thickBot="1">
      <c r="A68" s="1162" t="s">
        <v>1028</v>
      </c>
      <c r="B68" s="1163" t="s">
        <v>1476</v>
      </c>
      <c r="C68" s="346">
        <f ca="1">ROUND(C67*(1-((1+F70)/(1+F68))^F69)/(F68-F70),0)</f>
        <v>-1160</v>
      </c>
      <c r="D68" s="1180" t="s">
        <v>1460</v>
      </c>
      <c r="E68" s="1165" t="s">
        <v>1461</v>
      </c>
      <c r="F68" s="357">
        <f ca="1">F40</f>
        <v>0.05</v>
      </c>
      <c r="O68" s="1889" t="s">
        <v>1039</v>
      </c>
      <c r="P68" s="1928" t="s">
        <v>1574</v>
      </c>
      <c r="Q68" s="1881">
        <f ca="1">ROUND(Q69-Q70*Q71,0)</f>
        <v>443</v>
      </c>
      <c r="R68" s="1881" t="s">
        <v>1047</v>
      </c>
    </row>
    <row r="69" spans="1:18" s="1837" customFormat="1" ht="13.5" thickBot="1">
      <c r="A69" s="1166"/>
      <c r="B69" s="1167"/>
      <c r="C69" s="351"/>
      <c r="D69" s="1185" t="s">
        <v>1464</v>
      </c>
      <c r="E69" s="1165" t="s">
        <v>1465</v>
      </c>
      <c r="F69" s="379">
        <f ca="1">F41</f>
        <v>14.76</v>
      </c>
      <c r="O69" s="1889" t="s">
        <v>1044</v>
      </c>
      <c r="P69" s="1928" t="s">
        <v>1575</v>
      </c>
      <c r="Q69" s="1881">
        <f ca="1">C39</f>
        <v>502</v>
      </c>
      <c r="R69" s="1881" t="s">
        <v>1520</v>
      </c>
    </row>
    <row r="70" spans="1:18" s="1837" customFormat="1" ht="13.5" thickBot="1">
      <c r="A70" s="1169"/>
      <c r="B70" s="1170"/>
      <c r="C70" s="355"/>
      <c r="D70" s="1181"/>
      <c r="E70" s="1165" t="s">
        <v>1468</v>
      </c>
      <c r="F70" s="1271"/>
      <c r="O70" s="1889" t="s">
        <v>1045</v>
      </c>
      <c r="P70" s="1928" t="s">
        <v>1576</v>
      </c>
      <c r="Q70" s="1881">
        <f ca="1">C13</f>
        <v>698</v>
      </c>
      <c r="R70" s="1881" t="s">
        <v>1520</v>
      </c>
    </row>
    <row r="71" spans="1:18" s="1837" customFormat="1" ht="13.5" thickBot="1">
      <c r="A71" s="1186" t="s">
        <v>1029</v>
      </c>
      <c r="B71" s="1187" t="s">
        <v>1478</v>
      </c>
      <c r="C71" s="382">
        <f ca="1">ROUND(C68*10000/F71,0)</f>
        <v>-4824</v>
      </c>
      <c r="D71" s="1188" t="s">
        <v>1479</v>
      </c>
      <c r="E71" s="1189" t="s">
        <v>1480</v>
      </c>
      <c r="F71" s="385">
        <f ca="1">F43</f>
        <v>2404.44</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59</v>
      </c>
      <c r="D75" s="1837"/>
      <c r="E75" s="1837"/>
      <c r="F75" s="1837"/>
      <c r="K75" s="1863"/>
      <c r="L75" s="1837"/>
      <c r="O75" s="1879" t="s">
        <v>1042</v>
      </c>
      <c r="P75" s="1880" t="s">
        <v>1540</v>
      </c>
      <c r="Q75" s="1881">
        <f ca="1">Q65+Q66</f>
        <v>6404</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0.88200000000000001</v>
      </c>
    </row>
    <row r="80" spans="1:18">
      <c r="B80" s="386" t="s">
        <v>1502</v>
      </c>
      <c r="C80" s="318">
        <f ca="1">ROUND(C75/C39,3)</f>
        <v>0.11799999999999999</v>
      </c>
    </row>
    <row r="81" spans="2:3">
      <c r="B81" s="314" t="s">
        <v>1503</v>
      </c>
      <c r="C81" s="282"/>
    </row>
    <row r="82" spans="2:3">
      <c r="B82" s="317" t="s">
        <v>1504</v>
      </c>
      <c r="C82" s="319">
        <f ca="1">1-C83</f>
        <v>0.89100000000000001</v>
      </c>
    </row>
    <row r="83" spans="2:3">
      <c r="B83" s="317" t="s">
        <v>1505</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R25" sqref="R25"/>
    </sheetView>
  </sheetViews>
  <sheetFormatPr defaultColWidth="9" defaultRowHeight="12.75"/>
  <cols>
    <col min="1" max="1" width="11.5" style="139" customWidth="1"/>
    <col min="2" max="2" width="9.25" style="27" customWidth="1"/>
    <col min="3" max="3" width="7"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5.5">
      <c r="A2" s="1201"/>
      <c r="B2" s="703" t="s">
        <v>2959</v>
      </c>
      <c r="C2" s="704" t="str">
        <f t="shared" ref="C2:L2" si="0">C3&amp;"(含)"&amp;"-"&amp;D3</f>
        <v>0(含)-50000</v>
      </c>
      <c r="D2" s="705" t="str">
        <f t="shared" si="0"/>
        <v>50000(含)-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50000</v>
      </c>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16684</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29682</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5620.93</v>
      </c>
      <c r="C22" s="3185" t="s">
        <v>33</v>
      </c>
      <c r="D22" s="3186"/>
      <c r="E22" s="3186"/>
      <c r="F22" s="3186"/>
      <c r="G22" s="3186"/>
      <c r="H22" s="3186"/>
      <c r="I22" s="3186"/>
      <c r="J22" s="3186"/>
      <c r="K22" s="3186"/>
      <c r="L22" s="3186"/>
      <c r="M22" s="3186"/>
      <c r="N22" s="3186"/>
      <c r="O22" s="3186"/>
      <c r="P22" s="3186"/>
      <c r="Q22" s="3410"/>
      <c r="R22" s="716">
        <f ca="1">ROUND(S22*10000/B22,0)</f>
        <v>29682</v>
      </c>
      <c r="S22" s="24">
        <f ca="1">SUM(S24:S10000)</f>
        <v>16684</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3099</v>
      </c>
      <c r="B24" s="718">
        <f>'数据-汇总表'!F20</f>
        <v>2404.44</v>
      </c>
      <c r="C24" s="719">
        <v>1</v>
      </c>
      <c r="D24" s="720"/>
      <c r="E24" s="719">
        <v>1</v>
      </c>
      <c r="F24" s="720"/>
      <c r="G24" s="719">
        <v>1</v>
      </c>
      <c r="H24" s="720"/>
      <c r="I24" s="719">
        <v>1</v>
      </c>
      <c r="J24" s="720"/>
      <c r="K24" s="719">
        <v>1</v>
      </c>
      <c r="L24" s="720"/>
      <c r="M24" s="719">
        <v>1</v>
      </c>
      <c r="N24" s="720"/>
      <c r="O24" s="719">
        <v>1</v>
      </c>
      <c r="P24" s="720">
        <v>1</v>
      </c>
      <c r="Q24" s="719">
        <v>1</v>
      </c>
      <c r="R24" s="721">
        <f ca="1">'结果表-商业'!G20</f>
        <v>35832</v>
      </c>
      <c r="S24" s="719">
        <f t="shared" ref="S24:S54" ca="1" si="11">ROUND(R24*B24/10000,0)</f>
        <v>8616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0" t="s">
        <v>3100</v>
      </c>
      <c r="B25" s="59">
        <f>'数据-汇总表'!F21</f>
        <v>3216.4900000000002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25082</v>
      </c>
      <c r="S25" s="361">
        <f t="shared" ca="1" si="11"/>
        <v>8068</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118" sqref="H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3016</v>
      </c>
      <c r="D1" s="2412"/>
      <c r="E1" s="2412"/>
      <c r="F1" s="2414" t="s">
        <v>2071</v>
      </c>
      <c r="G1" s="2065" t="s">
        <v>3027</v>
      </c>
      <c r="H1" s="2415" t="str">
        <f>IF(G1="现房","——","估价对象范围")</f>
        <v>——</v>
      </c>
      <c r="I1" s="2416"/>
    </row>
    <row r="2" spans="1:12" ht="21.75" customHeight="1" thickBot="1">
      <c r="A2" s="3249" t="str">
        <f>项目基本情况!S2</f>
        <v>北京市房地产</v>
      </c>
      <c r="B2" s="3250"/>
      <c r="C2" s="3250"/>
      <c r="D2" s="3250"/>
      <c r="E2" s="3250"/>
      <c r="F2" s="3250"/>
      <c r="G2" s="3250"/>
      <c r="H2" s="3250"/>
      <c r="I2" s="3251"/>
    </row>
    <row r="3" spans="1:12" ht="12.75">
      <c r="A3" s="3252" t="s">
        <v>2072</v>
      </c>
      <c r="B3" s="3253"/>
      <c r="C3" s="3253"/>
      <c r="D3" s="3253"/>
      <c r="E3" s="3253"/>
      <c r="F3" s="3253"/>
      <c r="G3" s="3253"/>
      <c r="H3" s="3253"/>
      <c r="I3" s="3253"/>
    </row>
    <row r="4" spans="1:12" ht="14.25">
      <c r="A4" s="2419" t="s">
        <v>2073</v>
      </c>
      <c r="B4" s="2420" t="s">
        <v>2074</v>
      </c>
      <c r="C4" s="2421" t="s">
        <v>3045</v>
      </c>
      <c r="D4" s="2421" t="s">
        <v>3047</v>
      </c>
      <c r="E4" s="3233" t="s">
        <v>2075</v>
      </c>
      <c r="F4" s="3246"/>
      <c r="G4" s="3246"/>
      <c r="H4" s="3246"/>
      <c r="I4" s="3234"/>
      <c r="K4" s="2422" t="str">
        <f>IF(ISNUMBER(FIND("比较法",'结果表-车位'!C4)),"比较法",IF(ISNUMBER(FIND("成本法",'结果表-车位'!C4)),"成本法",IF(ISNUMBER(FIND("假设开发法",'结果表-车位'!C4)),"假设开发法",IF(ISNUMBER(FIND("收益法",'结果表-车位'!C4)),"收益法","基准地价系数修正法"))))</f>
        <v>比较法</v>
      </c>
      <c r="L4" s="242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24" t="s">
        <v>2076</v>
      </c>
      <c r="B5" s="3146">
        <v>25</v>
      </c>
      <c r="C5" s="3254"/>
      <c r="D5" s="3242"/>
      <c r="E5" s="140" t="s">
        <v>2077</v>
      </c>
      <c r="F5" s="2423"/>
      <c r="G5" s="2423"/>
      <c r="H5" s="2423"/>
      <c r="I5" s="1826"/>
    </row>
    <row r="6" spans="1:12" ht="12.75">
      <c r="A6" s="3224"/>
      <c r="B6" s="3146"/>
      <c r="C6" s="3256"/>
      <c r="D6" s="3242"/>
      <c r="E6" s="140" t="s">
        <v>2078</v>
      </c>
      <c r="F6" s="2423"/>
      <c r="G6" s="2423"/>
      <c r="H6" s="2423"/>
      <c r="I6" s="1826"/>
    </row>
    <row r="7" spans="1:12" ht="12.75">
      <c r="A7" s="3224"/>
      <c r="B7" s="3146"/>
      <c r="C7" s="3255"/>
      <c r="D7" s="3242"/>
      <c r="E7" s="140" t="s">
        <v>2079</v>
      </c>
      <c r="F7" s="2423"/>
      <c r="G7" s="2423"/>
      <c r="H7" s="2423"/>
      <c r="I7" s="1826"/>
    </row>
    <row r="8" spans="1:12" ht="12.75">
      <c r="A8" s="3224" t="s">
        <v>2080</v>
      </c>
      <c r="B8" s="3146">
        <v>15</v>
      </c>
      <c r="C8" s="3254"/>
      <c r="D8" s="3242"/>
      <c r="E8" s="140" t="s">
        <v>2081</v>
      </c>
      <c r="F8" s="2423"/>
      <c r="G8" s="2423"/>
      <c r="H8" s="2423"/>
      <c r="I8" s="1826"/>
    </row>
    <row r="9" spans="1:12" ht="12.75">
      <c r="A9" s="3224"/>
      <c r="B9" s="3146"/>
      <c r="C9" s="3255"/>
      <c r="D9" s="3242"/>
      <c r="E9" s="140" t="s">
        <v>2082</v>
      </c>
      <c r="F9" s="2423"/>
      <c r="G9" s="2423"/>
      <c r="H9" s="2423"/>
      <c r="I9" s="1826"/>
    </row>
    <row r="10" spans="1:12" ht="12.75">
      <c r="A10" s="3224" t="s">
        <v>2083</v>
      </c>
      <c r="B10" s="3146">
        <v>15</v>
      </c>
      <c r="C10" s="3254"/>
      <c r="D10" s="3242"/>
      <c r="E10" s="140" t="s">
        <v>2084</v>
      </c>
      <c r="F10" s="2423"/>
      <c r="G10" s="2423"/>
      <c r="H10" s="2423"/>
      <c r="I10" s="1826"/>
    </row>
    <row r="11" spans="1:12" ht="12.75">
      <c r="A11" s="3224"/>
      <c r="B11" s="3146"/>
      <c r="C11" s="3255"/>
      <c r="D11" s="3242"/>
      <c r="E11" s="140" t="s">
        <v>2085</v>
      </c>
      <c r="F11" s="2423"/>
      <c r="G11" s="2423"/>
      <c r="H11" s="2423"/>
      <c r="I11" s="1826"/>
    </row>
    <row r="12" spans="1:12" ht="12.75">
      <c r="A12" s="3224" t="s">
        <v>2086</v>
      </c>
      <c r="B12" s="3146">
        <v>15</v>
      </c>
      <c r="C12" s="3254"/>
      <c r="D12" s="3242"/>
      <c r="E12" s="140" t="s">
        <v>2087</v>
      </c>
      <c r="F12" s="2423"/>
      <c r="G12" s="2423"/>
      <c r="H12" s="2423"/>
      <c r="I12" s="1826"/>
    </row>
    <row r="13" spans="1:12" ht="12.75">
      <c r="A13" s="3224"/>
      <c r="B13" s="3146"/>
      <c r="C13" s="3255"/>
      <c r="D13" s="3242"/>
      <c r="E13" s="140" t="s">
        <v>2088</v>
      </c>
      <c r="F13" s="2423"/>
      <c r="G13" s="2423"/>
      <c r="H13" s="2423"/>
      <c r="I13" s="1826"/>
    </row>
    <row r="14" spans="1:12" ht="12.75">
      <c r="A14" s="3224" t="s">
        <v>2089</v>
      </c>
      <c r="B14" s="3146">
        <v>30</v>
      </c>
      <c r="C14" s="3254">
        <v>40</v>
      </c>
      <c r="D14" s="3242">
        <v>60</v>
      </c>
      <c r="E14" s="140" t="s">
        <v>2090</v>
      </c>
      <c r="F14" s="2423"/>
      <c r="G14" s="2423"/>
      <c r="H14" s="2423"/>
      <c r="I14" s="1826"/>
    </row>
    <row r="15" spans="1:12" ht="12.75">
      <c r="A15" s="3224"/>
      <c r="B15" s="3146"/>
      <c r="C15" s="3256"/>
      <c r="D15" s="3242"/>
      <c r="E15" s="140" t="s">
        <v>2091</v>
      </c>
      <c r="F15" s="2423"/>
      <c r="G15" s="2423"/>
      <c r="H15" s="2423"/>
      <c r="I15" s="1826"/>
    </row>
    <row r="16" spans="1:12" ht="12.75">
      <c r="A16" s="3224"/>
      <c r="B16" s="3146"/>
      <c r="C16" s="3255"/>
      <c r="D16" s="3242"/>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165.07999999999998</v>
      </c>
      <c r="M18" s="2422">
        <f>IF(C1="",'数据-汇总表'!E3,SUMIF(项目类型,C1,'数据-汇总表'!E17:E26))</f>
        <v>165.07999999999998</v>
      </c>
    </row>
    <row r="19" spans="1:35" ht="15">
      <c r="A19" s="2428" t="s">
        <v>2098</v>
      </c>
      <c r="B19" s="2429" t="s">
        <v>2099</v>
      </c>
      <c r="C19" s="143">
        <f ca="1">SUMIF(INDIRECT("'"&amp;C4&amp;"'"&amp;"!A:A"),'结果表-车位'!B19,INDIRECT("'"&amp;C4&amp;"'"&amp;"!B:B"))</f>
        <v>272</v>
      </c>
      <c r="D19" s="144">
        <f ca="1">SUMIF(INDIRECT("'"&amp;D4&amp;"'"&amp;"!A:A"),'结果表-车位'!B19,INDIRECT("'"&amp;D4&amp;"'"&amp;"!B:B"))</f>
        <v>124</v>
      </c>
      <c r="E19" s="2428" t="s">
        <v>2100</v>
      </c>
      <c r="F19" s="2429" t="s">
        <v>2099</v>
      </c>
      <c r="G19" s="145">
        <f ca="1">ROUND(C19*$C$18+D19*$D$18,0)</f>
        <v>183</v>
      </c>
      <c r="H19" s="2430" t="s">
        <v>2101</v>
      </c>
      <c r="I19" s="138"/>
      <c r="K19" s="2422" t="s">
        <v>2102</v>
      </c>
      <c r="L19" s="2422">
        <f>IF(C1="",'数据-汇总表'!D3,SUMIF(项目类型,C1,'数据-汇总表'!D17:D26)+SUMIF(项目类型,C1,'数据-汇总表'!H17:H27))</f>
        <v>16.899999999999999</v>
      </c>
      <c r="M19" s="2422">
        <f>IF(C1="",'数据-汇总表'!D3,SUMIF(项目类型,C1,'数据-汇总表'!D17:D26))</f>
        <v>16.899999999999999</v>
      </c>
    </row>
    <row r="20" spans="1:35" ht="15">
      <c r="A20" s="2431"/>
      <c r="B20" s="1243" t="s">
        <v>2103</v>
      </c>
      <c r="C20" s="146">
        <f ca="1">SUMIF(INDIRECT("'"&amp;C4&amp;"'"&amp;"!A:A"),'结果表-车位'!B20,INDIRECT("'"&amp;C4&amp;"'"&amp;"!B:B"))</f>
        <v>16477</v>
      </c>
      <c r="D20" s="147">
        <f ca="1">SUMIF(INDIRECT("'"&amp;D4&amp;"'"&amp;"!A:A"),'结果表-车位'!B20,INDIRECT("'"&amp;D4&amp;"'"&amp;"!B:B"))</f>
        <v>7512</v>
      </c>
      <c r="E20" s="2431"/>
      <c r="F20" s="1243" t="s">
        <v>2103</v>
      </c>
      <c r="G20" s="148">
        <f ca="1">ROUND(C20*$C$18+D20*$D$18,0)</f>
        <v>11098</v>
      </c>
      <c r="H20" s="976" t="s">
        <v>2104</v>
      </c>
      <c r="I20" s="138"/>
    </row>
    <row r="21" spans="1:35" ht="15" customHeight="1" thickBot="1">
      <c r="A21" s="996"/>
      <c r="B21" s="2432" t="s">
        <v>2105</v>
      </c>
      <c r="C21" s="789">
        <f ca="1">ROUND(C19*10000/L19,0)</f>
        <v>160947</v>
      </c>
      <c r="D21" s="790">
        <f ca="1">ROUND(D19*10000/L19,0)</f>
        <v>73373</v>
      </c>
      <c r="E21" s="996"/>
      <c r="F21" s="2432" t="s">
        <v>2105</v>
      </c>
      <c r="G21" s="149">
        <f ca="1">ROUND(G19*10000/L19,0)</f>
        <v>108284</v>
      </c>
      <c r="H21" s="2433" t="s">
        <v>2104</v>
      </c>
      <c r="I21" s="138"/>
    </row>
    <row r="22" spans="1:35" ht="15" thickBot="1">
      <c r="A22" s="2276" t="s">
        <v>2106</v>
      </c>
      <c r="B22" s="2434"/>
      <c r="C22" s="2435"/>
      <c r="D22" s="791">
        <f ca="1">IF(C19&lt;D19,D19/C19-1,C19/D19-1)</f>
        <v>1.193548387096774</v>
      </c>
      <c r="E22" s="138"/>
      <c r="F22" s="138"/>
      <c r="G22" s="138"/>
      <c r="H22" s="138"/>
      <c r="I22" s="138"/>
    </row>
    <row r="23" spans="1:35" ht="13.5" thickBot="1">
      <c r="A23" s="2412"/>
      <c r="B23" s="2412"/>
      <c r="C23" s="2412"/>
      <c r="D23" s="2412"/>
      <c r="E23" s="138"/>
      <c r="F23" s="138"/>
      <c r="G23" s="138"/>
      <c r="H23" s="138"/>
      <c r="I23" s="138"/>
    </row>
    <row r="24" spans="1:35" ht="14.25">
      <c r="A24" s="3263" t="s">
        <v>2107</v>
      </c>
      <c r="B24" s="2429" t="s">
        <v>2099</v>
      </c>
      <c r="C24" s="145">
        <f>IF(B30=0,0,D30)</f>
        <v>0</v>
      </c>
      <c r="D24" s="2436"/>
      <c r="E24" s="138"/>
      <c r="F24" s="138"/>
      <c r="G24" s="138"/>
      <c r="H24" s="138"/>
      <c r="I24" s="138"/>
    </row>
    <row r="25" spans="1:35" ht="14.25">
      <c r="A25" s="3264"/>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183</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43" t="s">
        <v>2121</v>
      </c>
      <c r="B36" s="2455" t="s">
        <v>2122</v>
      </c>
      <c r="C36" s="154"/>
      <c r="D36" s="2456"/>
      <c r="E36" s="2457"/>
      <c r="F36" s="2458"/>
      <c r="G36" s="138"/>
      <c r="H36" s="138"/>
      <c r="I36" s="138"/>
    </row>
    <row r="37" spans="1:15" ht="15.75" thickBot="1">
      <c r="A37" s="3244"/>
      <c r="B37" s="2262" t="s">
        <v>2123</v>
      </c>
      <c r="C37" s="156"/>
      <c r="D37" s="1388"/>
      <c r="E37" s="1388"/>
      <c r="F37" s="2458"/>
      <c r="G37" s="138"/>
      <c r="H37" s="138"/>
      <c r="I37" s="138"/>
    </row>
    <row r="38" spans="1:15" ht="15.75" thickBot="1">
      <c r="A38" s="3245"/>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260" t="s">
        <v>2135</v>
      </c>
      <c r="B45" s="3261"/>
      <c r="C45" s="3262"/>
      <c r="D45" s="164">
        <f ca="1">ROUND(H101*F45,0)</f>
        <v>183</v>
      </c>
      <c r="E45" s="165" t="s">
        <v>2136</v>
      </c>
      <c r="F45" s="166">
        <v>1</v>
      </c>
      <c r="G45" s="167" t="s">
        <v>2137</v>
      </c>
      <c r="H45" s="138"/>
      <c r="I45" s="138"/>
      <c r="J45" s="3179" t="s">
        <v>2138</v>
      </c>
      <c r="K45" s="3179"/>
      <c r="L45" s="3179"/>
      <c r="M45" s="3179"/>
      <c r="N45" s="3179"/>
      <c r="O45" s="3179"/>
    </row>
    <row r="46" spans="1:15" ht="14.25" customHeight="1">
      <c r="A46" s="3257" t="s">
        <v>2139</v>
      </c>
      <c r="B46" s="3258"/>
      <c r="C46" s="3258"/>
      <c r="D46" s="3258"/>
      <c r="E46" s="3258"/>
      <c r="F46" s="3258"/>
      <c r="G46" s="3259"/>
      <c r="H46" s="2474"/>
      <c r="I46" s="168"/>
      <c r="J46" s="2961">
        <v>1</v>
      </c>
      <c r="K46" s="3179" t="s">
        <v>2140</v>
      </c>
      <c r="L46" s="3179"/>
      <c r="M46" s="3180"/>
      <c r="N46" s="3180"/>
      <c r="O46" s="3180"/>
    </row>
    <row r="47" spans="1:15" ht="12" customHeight="1">
      <c r="A47" s="169" t="s">
        <v>2141</v>
      </c>
      <c r="B47" s="170"/>
      <c r="C47" s="171"/>
      <c r="D47" s="172" t="s">
        <v>2142</v>
      </c>
      <c r="E47" s="24" t="s">
        <v>2143</v>
      </c>
      <c r="F47" s="173" t="s">
        <v>2144</v>
      </c>
      <c r="G47" s="174" t="s">
        <v>2145</v>
      </c>
      <c r="H47" s="2474"/>
      <c r="I47" s="168"/>
      <c r="J47" s="2961">
        <v>2</v>
      </c>
      <c r="K47" s="3179" t="s">
        <v>2146</v>
      </c>
      <c r="L47" s="3179"/>
      <c r="M47" s="3181">
        <f>'数据-取费表'!B2</f>
        <v>43795</v>
      </c>
      <c r="N47" s="3181"/>
      <c r="O47" s="3181"/>
    </row>
    <row r="48" spans="1:15" ht="25.5">
      <c r="A48" s="3247" t="s">
        <v>2147</v>
      </c>
      <c r="B48" s="3248"/>
      <c r="C48" s="3248"/>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179" t="s">
        <v>2150</v>
      </c>
      <c r="L48" s="3179"/>
      <c r="M48" s="3182">
        <f ca="1">H101</f>
        <v>183</v>
      </c>
      <c r="N48" s="3182"/>
      <c r="O48" s="3182"/>
    </row>
    <row r="49" spans="1:35" ht="25.5" customHeight="1">
      <c r="A49" s="176" t="s">
        <v>2151</v>
      </c>
      <c r="B49" s="3227" t="s">
        <v>2152</v>
      </c>
      <c r="C49" s="3227"/>
      <c r="D49" s="177">
        <v>0</v>
      </c>
      <c r="E49" s="23" t="s">
        <v>2153</v>
      </c>
      <c r="F49" s="28" t="s">
        <v>34</v>
      </c>
      <c r="G49" s="3208"/>
      <c r="H49" s="138"/>
      <c r="I49" s="2477"/>
      <c r="J49" s="2961">
        <v>4</v>
      </c>
      <c r="K49" s="3179" t="str">
        <f>IF(项目基本情况!E8="房地产抵押价值","房地产抵押价值","抵押担保权已注销时的房地产抵押价值")</f>
        <v>抵押担保权已注销时的房地产抵押价值</v>
      </c>
      <c r="L49" s="3179"/>
      <c r="M49" s="3182">
        <f ca="1">IF(项目基本情况!E8="房地产抵押价值",H107,H109)</f>
        <v>183</v>
      </c>
      <c r="N49" s="3182"/>
      <c r="O49" s="3182"/>
    </row>
    <row r="50" spans="1:35" ht="25.5" customHeight="1">
      <c r="A50" s="178"/>
      <c r="B50" s="3227" t="s">
        <v>2154</v>
      </c>
      <c r="C50" s="3227"/>
      <c r="D50" s="179"/>
      <c r="E50" s="31"/>
      <c r="F50" s="180"/>
      <c r="G50" s="3209"/>
      <c r="H50" s="138"/>
      <c r="I50" s="2477"/>
      <c r="J50" s="3179" t="s">
        <v>2155</v>
      </c>
      <c r="K50" s="3179"/>
      <c r="L50" s="3179"/>
      <c r="M50" s="3179"/>
      <c r="N50" s="3179"/>
      <c r="O50" s="3179"/>
    </row>
    <row r="51" spans="1:35" ht="12" customHeight="1">
      <c r="A51" s="181"/>
      <c r="B51" s="3227" t="s">
        <v>2156</v>
      </c>
      <c r="C51" s="3227"/>
      <c r="D51" s="182"/>
      <c r="E51" s="30"/>
      <c r="F51" s="180"/>
      <c r="G51" s="3210"/>
      <c r="H51" s="138"/>
      <c r="I51" s="2477"/>
      <c r="J51" s="2960" t="s">
        <v>2157</v>
      </c>
      <c r="K51" s="3179" t="s">
        <v>2158</v>
      </c>
      <c r="L51" s="3179"/>
      <c r="M51" s="2960" t="s">
        <v>2159</v>
      </c>
      <c r="N51" s="2960" t="s">
        <v>2160</v>
      </c>
      <c r="O51" s="2960" t="s">
        <v>2161</v>
      </c>
    </row>
    <row r="52" spans="1:35" ht="24" customHeight="1">
      <c r="A52" s="183" t="s">
        <v>2162</v>
      </c>
      <c r="B52" s="3227" t="s">
        <v>2163</v>
      </c>
      <c r="C52" s="3227"/>
      <c r="D52" s="182">
        <f ca="1">ROUND(D45*'数据-取费表'!B41/(1+'数据-取费表'!C42),0)</f>
        <v>10</v>
      </c>
      <c r="E52" s="11" t="s">
        <v>2164</v>
      </c>
      <c r="F52" s="184">
        <f>'数据-取费表'!B41</f>
        <v>5.6000000000000001E-2</v>
      </c>
      <c r="G52" s="2479"/>
      <c r="H52" s="138"/>
      <c r="I52" s="2477"/>
      <c r="J52" s="2961">
        <v>1</v>
      </c>
      <c r="K52" s="3202" t="s">
        <v>2165</v>
      </c>
      <c r="L52" s="3202"/>
      <c r="M52" s="1746">
        <f>D48</f>
        <v>0</v>
      </c>
      <c r="N52" s="2961" t="str">
        <f>E48</f>
        <v>销售额×税（费）率</v>
      </c>
      <c r="O52" s="1747" t="str">
        <f>F48</f>
        <v>免征</v>
      </c>
    </row>
    <row r="53" spans="1:35" ht="12" customHeight="1">
      <c r="A53" s="183" t="s">
        <v>2166</v>
      </c>
      <c r="B53" s="3228" t="s">
        <v>2167</v>
      </c>
      <c r="C53" s="3229"/>
      <c r="D53" s="182">
        <f ca="1">ROUND(D45*'数据-取费表'!B41/(1+'数据-取费表'!C42),0)</f>
        <v>10</v>
      </c>
      <c r="E53" s="11" t="s">
        <v>2164</v>
      </c>
      <c r="F53" s="184">
        <f>'数据-取费表'!B41</f>
        <v>5.6000000000000001E-2</v>
      </c>
      <c r="G53" s="2479"/>
      <c r="H53" s="138"/>
      <c r="I53" s="2477"/>
      <c r="J53" s="2961">
        <v>2</v>
      </c>
      <c r="K53" s="3202" t="s">
        <v>2168</v>
      </c>
      <c r="L53" s="3202"/>
      <c r="M53" s="1746">
        <f t="shared" ref="M53:O54" ca="1" si="0">D55</f>
        <v>0</v>
      </c>
      <c r="N53" s="2961" t="str">
        <f t="shared" si="0"/>
        <v>销售额×税（费）率</v>
      </c>
      <c r="O53" s="1747">
        <f t="shared" si="0"/>
        <v>5.0000000000000001E-4</v>
      </c>
    </row>
    <row r="54" spans="1:35" ht="12" customHeight="1">
      <c r="A54" s="183" t="s">
        <v>2169</v>
      </c>
      <c r="B54" s="3228" t="s">
        <v>2170</v>
      </c>
      <c r="C54" s="3229"/>
      <c r="D54" s="182">
        <f ca="1">C68</f>
        <v>10</v>
      </c>
      <c r="E54" s="30" t="s">
        <v>2171</v>
      </c>
      <c r="F54" s="184">
        <f>'数据-取费表'!B41</f>
        <v>5.6000000000000001E-2</v>
      </c>
      <c r="G54" s="2479"/>
      <c r="H54" s="2480"/>
      <c r="I54" s="2477"/>
      <c r="J54" s="2961">
        <v>3</v>
      </c>
      <c r="K54" s="3202" t="s">
        <v>2172</v>
      </c>
      <c r="L54" s="3202"/>
      <c r="M54" s="1746">
        <f t="shared" ca="1" si="0"/>
        <v>103</v>
      </c>
      <c r="N54" s="2961" t="str">
        <f t="shared" si="0"/>
        <v>增值额×税（费）率</v>
      </c>
      <c r="O54" s="1748" t="str">
        <f t="shared" si="0"/>
        <v>——</v>
      </c>
    </row>
    <row r="55" spans="1:35" ht="24" customHeight="1">
      <c r="A55" s="3266" t="s">
        <v>2173</v>
      </c>
      <c r="B55" s="3248"/>
      <c r="C55" s="3248"/>
      <c r="D55" s="185">
        <f ca="1">IF(H55="个人住宅",0,ROUND(D45*I55,0))</f>
        <v>0</v>
      </c>
      <c r="E55" s="11" t="s">
        <v>2174</v>
      </c>
      <c r="F55" s="184">
        <f>IF(H55="正常",I55,"免征")</f>
        <v>5.0000000000000001E-4</v>
      </c>
      <c r="G55" s="2479"/>
      <c r="H55" s="2476" t="s">
        <v>2175</v>
      </c>
      <c r="I55" s="186">
        <f>'数据-取费表'!B49</f>
        <v>5.0000000000000001E-4</v>
      </c>
      <c r="J55" s="2961" t="str">
        <f>IF(H59="非个人房产","",4)</f>
        <v/>
      </c>
      <c r="K55" s="3202" t="str">
        <f>IF(H59="非个人房产","——","个人所得税")</f>
        <v>——</v>
      </c>
      <c r="L55" s="3202"/>
      <c r="M55" s="1749" t="str">
        <f>D59</f>
        <v>——</v>
      </c>
      <c r="N55" s="2962" t="str">
        <f>E59</f>
        <v>——</v>
      </c>
      <c r="O55" s="1750" t="str">
        <f>F59</f>
        <v>——</v>
      </c>
    </row>
    <row r="56" spans="1:35" ht="24.75">
      <c r="A56" s="3266" t="s">
        <v>2176</v>
      </c>
      <c r="B56" s="3248"/>
      <c r="C56" s="3248"/>
      <c r="D56" s="185">
        <f ca="1">IF(H56="个人住宅",D57,D58)</f>
        <v>103</v>
      </c>
      <c r="E56" s="11" t="s">
        <v>2177</v>
      </c>
      <c r="F56" s="184" t="str">
        <f>IF(H56="正常",F58,"免征")</f>
        <v>——</v>
      </c>
      <c r="G56" s="2481" t="s">
        <v>2178</v>
      </c>
      <c r="H56" s="2482" t="s">
        <v>2175</v>
      </c>
      <c r="I56" s="2483"/>
      <c r="J56" s="2961" t="str">
        <f>IF(项目基本情况!K6="上海银行",IF(J55="",4,J55+1),"")</f>
        <v/>
      </c>
      <c r="K56" s="3185" t="str">
        <f>IF(项目基本情况!K6="上海银行","其他处置费用","")</f>
        <v/>
      </c>
      <c r="L56" s="3186"/>
      <c r="M56" s="1746" t="str">
        <f>IF(项目基本情况!K6="上海银行",M69,"")</f>
        <v/>
      </c>
      <c r="N56" s="3188" t="str">
        <f>IF(项目基本情况!K6="上海银行","包含处置中涉及的律师、诉讼、拍卖、评估等费用","")</f>
        <v/>
      </c>
      <c r="O56" s="3189"/>
    </row>
    <row r="57" spans="1:35" ht="12.75">
      <c r="A57" s="183" t="s">
        <v>2151</v>
      </c>
      <c r="B57" s="3233" t="s">
        <v>2179</v>
      </c>
      <c r="C57" s="3234"/>
      <c r="D57" s="187">
        <v>0</v>
      </c>
      <c r="E57" s="23" t="s">
        <v>2153</v>
      </c>
      <c r="F57" s="155"/>
      <c r="G57" s="2479"/>
      <c r="H57" s="2483"/>
      <c r="I57" s="2483"/>
      <c r="J57" s="3202">
        <f>IF(AND(J55="",J56=""),4,IF(项目基本情况!K6="上海银行",'结果表-车位'!J56+1,'结果表-车位'!J55+1))</f>
        <v>4</v>
      </c>
      <c r="K57" s="3202" t="s">
        <v>2180</v>
      </c>
      <c r="L57" s="2484" t="s">
        <v>2181</v>
      </c>
      <c r="M57" s="1751"/>
      <c r="N57" s="1752">
        <f ca="1">SUMIF(M52:M56,"&lt;9e307")</f>
        <v>103</v>
      </c>
      <c r="O57" s="2485"/>
      <c r="P57" s="1745">
        <f ca="1">N57/M49</f>
        <v>0.56284153005464477</v>
      </c>
    </row>
    <row r="58" spans="1:35" ht="24.75">
      <c r="A58" s="183" t="s">
        <v>2162</v>
      </c>
      <c r="B58" s="3233" t="s">
        <v>2182</v>
      </c>
      <c r="C58" s="3246"/>
      <c r="D58" s="185">
        <f ca="1">IF(H58="转让取得",C81,C97)</f>
        <v>103</v>
      </c>
      <c r="E58" s="11" t="s">
        <v>2177</v>
      </c>
      <c r="F58" s="24" t="s">
        <v>34</v>
      </c>
      <c r="G58" s="2479"/>
      <c r="H58" s="2482" t="s">
        <v>2183</v>
      </c>
      <c r="I58" s="2483"/>
      <c r="J58" s="3202"/>
      <c r="K58" s="3202"/>
      <c r="L58" s="2484" t="s">
        <v>2184</v>
      </c>
      <c r="M58" s="1753"/>
      <c r="N58" s="2486" t="str">
        <f ca="1">NUMBERSTRING(INT(N57*10000),2)&amp;"元整"</f>
        <v>壹佰零叁万元整</v>
      </c>
      <c r="O58" s="2487"/>
    </row>
    <row r="59" spans="1:35" ht="24.75" thickBot="1">
      <c r="A59" s="3206" t="s">
        <v>2185</v>
      </c>
      <c r="B59" s="3207"/>
      <c r="C59" s="3207"/>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04">
        <f>J57+1</f>
        <v>5</v>
      </c>
      <c r="K59" s="3202" t="s">
        <v>2187</v>
      </c>
      <c r="L59" s="2961" t="s">
        <v>2181</v>
      </c>
      <c r="M59" s="1754"/>
      <c r="N59" s="1755">
        <f ca="1">M49-N57</f>
        <v>80</v>
      </c>
      <c r="O59" s="2489"/>
    </row>
    <row r="60" spans="1:35" ht="12" customHeight="1">
      <c r="A60" s="2490"/>
      <c r="B60" s="2412"/>
      <c r="C60" s="2412"/>
      <c r="D60" s="2412"/>
      <c r="E60" s="2161"/>
      <c r="F60" s="2483"/>
      <c r="G60" s="2483"/>
      <c r="H60" s="2491"/>
      <c r="I60" s="138"/>
      <c r="J60" s="3205"/>
      <c r="K60" s="3202"/>
      <c r="L60" s="2484" t="s">
        <v>2184</v>
      </c>
      <c r="M60" s="1753"/>
      <c r="N60" s="2486" t="str">
        <f ca="1">NUMBERSTRING(INT(N59*10000),2)&amp;"元整"</f>
        <v>捌拾万元整</v>
      </c>
      <c r="O60" s="2487"/>
    </row>
    <row r="61" spans="1:35" ht="13.5" thickBot="1">
      <c r="A61" s="3265" t="s">
        <v>2188</v>
      </c>
      <c r="B61" s="3265"/>
      <c r="C61" s="3265"/>
      <c r="D61" s="3265"/>
      <c r="E61" s="3265"/>
      <c r="F61" s="2483"/>
      <c r="G61" s="2483"/>
      <c r="H61" s="2491"/>
      <c r="I61" s="138"/>
      <c r="J61" s="2961">
        <f>J59+1</f>
        <v>6</v>
      </c>
      <c r="K61" s="3202" t="s">
        <v>2189</v>
      </c>
      <c r="L61" s="3202"/>
      <c r="M61" s="1756"/>
      <c r="N61" s="1757">
        <f ca="1">ROUND(N59*10000/'数据-汇总表'!E3,0)</f>
        <v>38</v>
      </c>
      <c r="O61" s="2492"/>
    </row>
    <row r="62" spans="1:35" ht="12.75">
      <c r="A62" s="3222" t="s">
        <v>2190</v>
      </c>
      <c r="B62" s="3223"/>
      <c r="C62" s="2956"/>
      <c r="D62" s="2956" t="s">
        <v>2191</v>
      </c>
      <c r="E62" s="192" t="s">
        <v>2192</v>
      </c>
      <c r="F62" s="2483"/>
      <c r="G62" s="2483"/>
      <c r="H62" s="2491"/>
      <c r="I62" s="138"/>
    </row>
    <row r="63" spans="1:35" ht="12.75">
      <c r="A63" s="203" t="s">
        <v>774</v>
      </c>
      <c r="B63" s="193" t="s">
        <v>2193</v>
      </c>
      <c r="C63" s="194">
        <f ca="1">ROUND((C64+C65)/(1+'数据-取费表'!C42),0)</f>
        <v>174</v>
      </c>
      <c r="D63" s="195"/>
      <c r="E63" s="196"/>
      <c r="F63" s="2483"/>
      <c r="G63" s="2483"/>
      <c r="H63" s="2491"/>
      <c r="I63" s="138"/>
      <c r="J63" s="3187" t="s">
        <v>2194</v>
      </c>
      <c r="K63" s="2965" t="s">
        <v>2195</v>
      </c>
      <c r="L63" s="1744">
        <f ca="1">IF(M49&gt;10000,M49*0.5%,IF(AND(M49&gt;1000,M49&lt;=10000),M49*1%,IF(AND(M49&gt;100,M49&lt;=1000),M49*3%,IF(AND(M49&gt;10,M49&lt;=100),M49*5%,M49*8%))))</f>
        <v>5.49</v>
      </c>
      <c r="M63" s="24">
        <f ca="1">ROUND(L63,1)</f>
        <v>5.5</v>
      </c>
      <c r="Z63" s="2417"/>
      <c r="AI63" s="2418"/>
    </row>
    <row r="64" spans="1:35" ht="14.25" customHeight="1">
      <c r="A64" s="197" t="s">
        <v>769</v>
      </c>
      <c r="B64" s="198" t="s">
        <v>2196</v>
      </c>
      <c r="C64" s="199">
        <f ca="1">D45</f>
        <v>183</v>
      </c>
      <c r="D64" s="200" t="s">
        <v>32</v>
      </c>
      <c r="E64" s="201"/>
      <c r="F64" s="2483"/>
      <c r="G64" s="2483"/>
      <c r="H64" s="2491"/>
      <c r="I64" s="138"/>
      <c r="J64" s="3187"/>
      <c r="K64" s="2965" t="s">
        <v>2197</v>
      </c>
      <c r="L64" s="1744">
        <f ca="1">IF(M49&gt;2000,M49*0.5%,IF(AND(M49&gt;1000,M49&lt;=2000),M49*0.6%,IF(AND(M49&gt;500,M49&lt;=1000),M49*0.7%,IF(AND(M49&gt;200,M49&lt;=500),M49*0.8%,IF(AND(M49&gt;100,M49&lt;=200),M49*0.9%,IF(AND(M49&gt;50,M49&lt;=100),M49*1%,IF(AND(M49&gt;20,M49&lt;=50),M49*1.5%,IF(AND(M49&gt;10,M49&lt;=20),M49*2%,IF(AND(M49&gt;1,M49&lt;=10),M49*2.5%)))))))))</f>
        <v>1.6470000000000002</v>
      </c>
      <c r="M64" s="24">
        <f t="shared" ref="M64:M65" ca="1" si="1">ROUND(L64,1)</f>
        <v>1.6</v>
      </c>
      <c r="N64" s="138" t="s">
        <v>2198</v>
      </c>
      <c r="Z64" s="2417"/>
      <c r="AI64" s="2418"/>
    </row>
    <row r="65" spans="1:35" ht="14.25" customHeight="1">
      <c r="A65" s="197" t="s">
        <v>770</v>
      </c>
      <c r="B65" s="198" t="s">
        <v>2199</v>
      </c>
      <c r="C65" s="202"/>
      <c r="D65" s="200"/>
      <c r="E65" s="201"/>
      <c r="F65" s="2483"/>
      <c r="G65" s="2483"/>
      <c r="H65" s="2491"/>
      <c r="I65" s="138"/>
      <c r="J65" s="3187"/>
      <c r="K65" s="2965" t="s">
        <v>2200</v>
      </c>
      <c r="L65" s="1744">
        <f ca="1">IF(M49&gt;1000,M49*0.1%,IF(AND(M49&gt;500,M49&lt;=1000),M49*0.5%,IF(AND(M49&gt;50,M49&lt;=500),M49*1%,IF(AND(M49&gt;1,M49&lt;=50),M49*1.5%))))</f>
        <v>1.83</v>
      </c>
      <c r="M65" s="24">
        <f t="shared" ca="1" si="1"/>
        <v>1.8</v>
      </c>
      <c r="N65" s="138" t="s">
        <v>2198</v>
      </c>
      <c r="Z65" s="2417"/>
      <c r="AI65" s="2418"/>
    </row>
    <row r="66" spans="1:35" ht="14.25" customHeight="1">
      <c r="A66" s="203" t="s">
        <v>771</v>
      </c>
      <c r="B66" s="204" t="s">
        <v>2201</v>
      </c>
      <c r="C66" s="205"/>
      <c r="D66" s="206" t="s">
        <v>32</v>
      </c>
      <c r="E66" s="1768" t="s">
        <v>1363</v>
      </c>
      <c r="F66" s="2483"/>
      <c r="G66" s="2483"/>
      <c r="H66" s="2491"/>
      <c r="I66" s="138"/>
      <c r="J66" s="3187"/>
      <c r="K66" s="2965" t="s">
        <v>2202</v>
      </c>
      <c r="L66" s="1744">
        <f ca="1">M49*0.5%</f>
        <v>0.91500000000000004</v>
      </c>
      <c r="M66" s="24">
        <f ca="1">IF(L66&gt;0.5,0.5,ROUND(L66,0))</f>
        <v>0.5</v>
      </c>
      <c r="N66" s="138" t="s">
        <v>2203</v>
      </c>
      <c r="Z66" s="2417"/>
      <c r="AI66" s="2418"/>
    </row>
    <row r="67" spans="1:35" ht="14.25" customHeight="1">
      <c r="A67" s="203" t="s">
        <v>772</v>
      </c>
      <c r="B67" s="204" t="s">
        <v>2204</v>
      </c>
      <c r="C67" s="207">
        <f ca="1">C63-C66</f>
        <v>174</v>
      </c>
      <c r="D67" s="200" t="s">
        <v>32</v>
      </c>
      <c r="E67" s="201"/>
      <c r="F67" s="2483"/>
      <c r="G67" s="2483"/>
      <c r="H67" s="2491"/>
      <c r="I67" s="138"/>
      <c r="J67" s="3187"/>
      <c r="K67" s="2965" t="s">
        <v>2205</v>
      </c>
      <c r="L67" s="1744">
        <f ca="1">IF(M49&gt;=10000,(8.25+(M49-10000)*0.01%),IF(AND(M49&gt;=8000,M49&lt;10000),(7.85+(M49-8000)*0.02%),IF(AND(M49&gt;=5000,M49&lt;8000),(6.65+(M49-5000)*0.04%),IF(AND(M49&gt;=2000,M49&lt;5000),(4.25+(PM49-2000)*0.08%),IF(AND(M49&gt;=1000,M49&lt;2000),(2.75+(M49-1000)*0.15%),IF(AND(M49&gt;=100,M49&lt;1000),(0.5+(M49-100)*0.25%),IF(AND(M49&gt;0,M49&lt;100),M49*0.5%)))))))</f>
        <v>0.70750000000000002</v>
      </c>
      <c r="M67" s="24">
        <f ca="1">ROUND(L67*0.9,1)</f>
        <v>0.6</v>
      </c>
      <c r="Z67" s="2417"/>
      <c r="AI67" s="2418"/>
    </row>
    <row r="68" spans="1:35" ht="14.25" customHeight="1" thickBot="1">
      <c r="A68" s="208" t="s">
        <v>773</v>
      </c>
      <c r="B68" s="209" t="s">
        <v>2206</v>
      </c>
      <c r="C68" s="210">
        <f ca="1">IF(C67&lt;=0,0,ROUND(C67*D68,0))</f>
        <v>10</v>
      </c>
      <c r="D68" s="211">
        <f>'数据-取费表'!B41</f>
        <v>5.6000000000000001E-2</v>
      </c>
      <c r="E68" s="212"/>
      <c r="F68" s="2483"/>
      <c r="G68" s="2483"/>
      <c r="H68" s="2491"/>
      <c r="I68" s="138"/>
      <c r="J68" s="3187"/>
      <c r="K68" s="2965" t="s">
        <v>2207</v>
      </c>
      <c r="L68" s="1744">
        <f ca="1">IF(M49&gt;10000,M49*0.5%,IF(AND(M49&gt;5000,M49&lt;=10000),M49*1%,IF(AND(M49&gt;1000,M49&lt;=5000),M49*2%,IF(AND(M49&gt;200,M49&lt;=1000),M49*3%,M49*5%))))</f>
        <v>9.15</v>
      </c>
      <c r="M68" s="24">
        <f ca="1">ROUND(L68,1)</f>
        <v>9.1999999999999993</v>
      </c>
      <c r="Z68" s="2417"/>
      <c r="AI68" s="2418"/>
    </row>
    <row r="69" spans="1:35" s="2440" customFormat="1" ht="16.5" customHeight="1">
      <c r="A69" s="2494"/>
      <c r="B69" s="2495"/>
      <c r="C69" s="2496"/>
      <c r="D69" s="2497"/>
      <c r="E69" s="2498"/>
      <c r="F69" s="2161"/>
      <c r="G69" s="2161"/>
      <c r="H69" s="2160"/>
      <c r="I69" s="2412"/>
      <c r="J69" s="3187"/>
      <c r="K69" s="2965" t="s">
        <v>2208</v>
      </c>
      <c r="L69" s="2499"/>
      <c r="M69" s="24">
        <f ca="1">ROUND(SUM(M63:M68),0)</f>
        <v>19</v>
      </c>
      <c r="N69" s="1745">
        <f ca="1">M69/M49</f>
        <v>0.10382513661202186</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31" t="s">
        <v>2209</v>
      </c>
      <c r="B70" s="3232"/>
      <c r="C70" s="3232"/>
      <c r="D70" s="3232"/>
      <c r="E70" s="3232"/>
      <c r="F70" s="3232"/>
      <c r="G70" s="3232"/>
      <c r="H70" s="323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22" t="s">
        <v>2190</v>
      </c>
      <c r="B71" s="3223"/>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174</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1</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28" t="s">
        <v>2218</v>
      </c>
      <c r="F76" s="3227"/>
      <c r="G76" s="3227"/>
      <c r="H76" s="323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1</v>
      </c>
      <c r="D78" s="226">
        <f>'数据-取费表'!B43</f>
        <v>6.000000000000001E-3</v>
      </c>
      <c r="E78" s="3219" t="s">
        <v>2223</v>
      </c>
      <c r="F78" s="3220"/>
      <c r="G78" s="3220"/>
      <c r="H78" s="322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173</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173</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31" t="s">
        <v>2227</v>
      </c>
      <c r="B83" s="3232"/>
      <c r="C83" s="3232"/>
      <c r="D83" s="3232"/>
      <c r="E83" s="3232"/>
      <c r="F83" s="3232"/>
      <c r="G83" s="3232"/>
      <c r="H83" s="323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22" t="s">
        <v>2190</v>
      </c>
      <c r="B84" s="3223"/>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174</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1</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219" t="s">
        <v>2236</v>
      </c>
      <c r="F91" s="3220"/>
      <c r="G91" s="3220"/>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219" t="s">
        <v>2240</v>
      </c>
      <c r="F92" s="3220"/>
      <c r="G92" s="3220"/>
      <c r="H92" s="322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1</v>
      </c>
      <c r="D93" s="226">
        <f>'数据-取费表'!B43</f>
        <v>6.000000000000001E-3</v>
      </c>
      <c r="E93" s="3219" t="s">
        <v>2223</v>
      </c>
      <c r="F93" s="3220"/>
      <c r="G93" s="3220"/>
      <c r="H93" s="322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267" t="s">
        <v>2244</v>
      </c>
      <c r="F94" s="3268"/>
      <c r="G94" s="3268"/>
      <c r="H94" s="326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173</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173</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103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203"/>
      <c r="E100" s="3172" t="s">
        <v>2247</v>
      </c>
      <c r="F100" s="3172"/>
      <c r="G100" s="3172"/>
      <c r="H100" s="3203"/>
      <c r="I100" s="138"/>
    </row>
    <row r="101" spans="1:35" ht="18.75" customHeight="1">
      <c r="A101" s="3211" t="s">
        <v>2248</v>
      </c>
      <c r="B101" s="3212"/>
      <c r="C101" s="736" t="str">
        <f>C4</f>
        <v>比较法-车位</v>
      </c>
      <c r="D101" s="737" t="str">
        <f>D4</f>
        <v>收益法-车位</v>
      </c>
      <c r="E101" s="3183" t="s">
        <v>2249</v>
      </c>
      <c r="F101" s="3184"/>
      <c r="G101" s="2514" t="s">
        <v>2250</v>
      </c>
      <c r="H101" s="1041">
        <f ca="1">H118</f>
        <v>183</v>
      </c>
      <c r="I101" s="138"/>
    </row>
    <row r="102" spans="1:35" ht="18.75" customHeight="1">
      <c r="A102" s="3213" t="s">
        <v>2251</v>
      </c>
      <c r="B102" s="2514" t="s">
        <v>2250</v>
      </c>
      <c r="C102" s="736">
        <f ca="1">C19</f>
        <v>272</v>
      </c>
      <c r="D102" s="737">
        <f ca="1">D19</f>
        <v>124</v>
      </c>
      <c r="E102" s="3183"/>
      <c r="F102" s="3184"/>
      <c r="G102" s="2514" t="s">
        <v>2252</v>
      </c>
      <c r="H102" s="371">
        <f ca="1">I118</f>
        <v>11086</v>
      </c>
      <c r="I102" s="138"/>
    </row>
    <row r="103" spans="1:35" ht="42.75" customHeight="1">
      <c r="A103" s="3213"/>
      <c r="B103" s="2514" t="s">
        <v>2252</v>
      </c>
      <c r="C103" s="738">
        <f ca="1">C20</f>
        <v>16477</v>
      </c>
      <c r="D103" s="739">
        <f ca="1">D20</f>
        <v>7512</v>
      </c>
      <c r="E103" s="3177" t="s">
        <v>2253</v>
      </c>
      <c r="F103" s="3178"/>
      <c r="G103" s="2515" t="s">
        <v>2254</v>
      </c>
      <c r="H103" s="1041">
        <f>IF(D36="正常操作",H104+H105+H106,H105+H106)</f>
        <v>0</v>
      </c>
      <c r="I103" s="138"/>
    </row>
    <row r="104" spans="1:35" ht="18.75" customHeight="1">
      <c r="A104" s="3213" t="s">
        <v>2255</v>
      </c>
      <c r="B104" s="2516" t="s">
        <v>2250</v>
      </c>
      <c r="C104" s="740">
        <f ca="1">H118</f>
        <v>183</v>
      </c>
      <c r="D104" s="741"/>
      <c r="E104" s="2262" t="s">
        <v>2256</v>
      </c>
      <c r="F104" s="2253"/>
      <c r="G104" s="2515" t="s">
        <v>2254</v>
      </c>
      <c r="H104" s="1042">
        <f>IF(D36="同一抵押权人同一抵押物续贷",C36&amp;"（未扣减，详见特别提示）",C36)</f>
        <v>0</v>
      </c>
      <c r="I104" s="138"/>
    </row>
    <row r="105" spans="1:35" ht="18.75" customHeight="1" thickBot="1">
      <c r="A105" s="3225"/>
      <c r="B105" s="2517" t="s">
        <v>2252</v>
      </c>
      <c r="C105" s="742">
        <f ca="1">I118</f>
        <v>11086</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4" t="str">
        <f>IF(项目基本情况!E8="已注销","——","3.房地产抵押价值")</f>
        <v>——</v>
      </c>
      <c r="F107" s="3184"/>
      <c r="G107" s="2514" t="s">
        <v>2250</v>
      </c>
      <c r="H107" s="1041" t="str">
        <f>IF(E107="——","——",H101-H103)</f>
        <v>——</v>
      </c>
      <c r="I107" s="138"/>
    </row>
    <row r="108" spans="1:35" ht="18.75" customHeight="1">
      <c r="A108" s="138"/>
      <c r="B108" s="138"/>
      <c r="C108" s="138"/>
      <c r="D108" s="138"/>
      <c r="E108" s="3214"/>
      <c r="F108" s="3184"/>
      <c r="G108" s="2514" t="s">
        <v>2252</v>
      </c>
      <c r="H108" s="371" t="e">
        <f>ROUND(H107*10000/'数据-汇总表'!E3,0)</f>
        <v>#VALUE!</v>
      </c>
      <c r="I108" s="138"/>
    </row>
    <row r="109" spans="1:35" ht="18.75" customHeight="1">
      <c r="A109" s="138"/>
      <c r="B109" s="138"/>
      <c r="C109" s="138"/>
      <c r="D109" s="138"/>
      <c r="E109" s="3214" t="str">
        <f>IF(项目基本情况!E8="已注销及未注销","4.抵押担保权已注销时的房地产抵押价值",IF(项目基本情况!E8="已注销","3.抵押担保权已注销时的房地产抵押价值","——"))</f>
        <v>3.抵押担保权已注销时的房地产抵押价值</v>
      </c>
      <c r="F109" s="3184"/>
      <c r="G109" s="2514" t="s">
        <v>2250</v>
      </c>
      <c r="H109" s="348">
        <f ca="1">IF(E109="——","——",H101-H105-H106)</f>
        <v>183</v>
      </c>
      <c r="I109" s="138"/>
    </row>
    <row r="110" spans="1:35" ht="18.75" customHeight="1">
      <c r="A110" s="138"/>
      <c r="B110" s="138"/>
      <c r="C110" s="138"/>
      <c r="D110" s="138"/>
      <c r="E110" s="3214"/>
      <c r="F110" s="3184"/>
      <c r="G110" s="2514" t="s">
        <v>2252</v>
      </c>
      <c r="H110" s="371">
        <f ca="1">IF(H109="——","——",ROUND(H109*10000/'数据-汇总表'!E3,0))</f>
        <v>86</v>
      </c>
      <c r="I110" s="138"/>
    </row>
    <row r="111" spans="1:35" ht="18.75" customHeight="1">
      <c r="A111" s="138"/>
      <c r="B111" s="138"/>
      <c r="C111" s="138"/>
      <c r="D111" s="138"/>
      <c r="E111" s="3215" t="str">
        <f>IF(项目基本情况!E9="抵押净值",IF(OR(项目基本情况!E8="已注销",项目基本情况!E8="房地产抵押价值"),"4.抵押净值","5.抵押净值"),"——")</f>
        <v>——</v>
      </c>
      <c r="F111" s="3216"/>
      <c r="G111" s="2514" t="s">
        <v>2250</v>
      </c>
      <c r="H111" s="1041" t="str">
        <f>IF(E111="——","——",N59)</f>
        <v>——</v>
      </c>
      <c r="I111" s="138"/>
    </row>
    <row r="112" spans="1:35" ht="18.75" customHeight="1" thickBot="1">
      <c r="A112" s="138"/>
      <c r="B112" s="138"/>
      <c r="C112" s="138"/>
      <c r="D112" s="138"/>
      <c r="E112" s="3217"/>
      <c r="F112" s="3218"/>
      <c r="G112" s="2519" t="s">
        <v>2252</v>
      </c>
      <c r="H112" s="790" t="str">
        <f>IF(E111="——","——",N61)</f>
        <v>——</v>
      </c>
      <c r="I112" s="138"/>
    </row>
    <row r="113" spans="1:11" ht="18.75" customHeight="1">
      <c r="A113" s="138"/>
      <c r="B113" s="138"/>
      <c r="C113" s="138"/>
      <c r="D113" s="138"/>
      <c r="E113" s="3226" t="s">
        <v>2258</v>
      </c>
      <c r="F113" s="3226"/>
      <c r="G113" s="3226"/>
      <c r="H113" s="3226"/>
      <c r="I113" s="138"/>
    </row>
    <row r="114" spans="1:11" ht="3.75" customHeight="1">
      <c r="A114" s="2412"/>
      <c r="B114" s="2412"/>
      <c r="C114" s="2412"/>
      <c r="D114" s="2412"/>
      <c r="E114" s="2490"/>
      <c r="F114" s="2490"/>
      <c r="G114" s="2490"/>
      <c r="H114" s="2490"/>
      <c r="I114" s="2412"/>
    </row>
    <row r="115" spans="1:11" ht="18.75" customHeight="1">
      <c r="A115" s="3239" t="s">
        <v>2260</v>
      </c>
      <c r="B115" s="3240"/>
      <c r="C115" s="3240"/>
      <c r="D115" s="3240"/>
      <c r="E115" s="3240"/>
      <c r="F115" s="3240"/>
      <c r="G115" s="3240"/>
      <c r="H115" s="3240"/>
      <c r="I115" s="3241"/>
    </row>
    <row r="116" spans="1:11" ht="27" customHeight="1">
      <c r="A116" s="3146" t="s">
        <v>2261</v>
      </c>
      <c r="B116" s="3193" t="s">
        <v>2262</v>
      </c>
      <c r="C116" s="3193" t="s">
        <v>2263</v>
      </c>
      <c r="D116" s="3199" t="s">
        <v>2264</v>
      </c>
      <c r="E116" s="3200"/>
      <c r="F116" s="3235" t="s">
        <v>2265</v>
      </c>
      <c r="G116" s="3235"/>
      <c r="H116" s="3146" t="s">
        <v>2266</v>
      </c>
      <c r="I116" s="3146"/>
    </row>
    <row r="117" spans="1:11" ht="18.75" customHeight="1">
      <c r="A117" s="3146"/>
      <c r="B117" s="3194"/>
      <c r="C117" s="319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165.07999999999998</v>
      </c>
      <c r="C118" s="2948">
        <f>M19</f>
        <v>16.899999999999999</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183</v>
      </c>
      <c r="I118" s="2948">
        <f ca="1">ROUND(IF(D32="楼面单价",C32,H118*10000/B118),0)</f>
        <v>11086</v>
      </c>
    </row>
    <row r="119" spans="1:11" ht="18.75" customHeight="1">
      <c r="A119" s="3146" t="s">
        <v>2270</v>
      </c>
      <c r="B119" s="3146"/>
      <c r="C119" s="3146"/>
      <c r="D119" s="3195" t="e">
        <f ca="1">NUMBERSTRING(INT(D118*10000),2)&amp;"元整"</f>
        <v>#REF!</v>
      </c>
      <c r="E119" s="3196"/>
      <c r="F119" s="3195" t="e">
        <f ca="1">NUMBERSTRING(INT(F118*10000),2)&amp;"元整"</f>
        <v>#REF!</v>
      </c>
      <c r="G119" s="3196"/>
      <c r="H119" s="3195" t="str">
        <f ca="1">NUMBERSTRING(INT(H118*10000),2)&amp;"元整"</f>
        <v>壹佰捌拾叁万元整</v>
      </c>
      <c r="I119" s="3196"/>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7" t="str">
        <f>IF(D120=0,"故，本次评估不存在"&amp;A120,"故，本次评估"&amp;A120&amp;"为人民币"&amp;D120&amp;"万元整。")</f>
        <v>故，本次评估不存在估价师知悉的法定优先受偿款</v>
      </c>
    </row>
    <row r="121" spans="1:11" ht="18.75" customHeight="1">
      <c r="A121" s="3236" t="s">
        <v>2270</v>
      </c>
      <c r="B121" s="3237"/>
      <c r="C121" s="3238"/>
      <c r="D121" s="3195" t="str">
        <f>IF(D120=0,"零元整",NUMBERSTRING(INT(D120*10000),2)&amp;"元整")</f>
        <v>零元整</v>
      </c>
      <c r="E121" s="3197"/>
      <c r="F121" s="3197"/>
      <c r="G121" s="3197"/>
      <c r="H121" s="3197"/>
      <c r="I121" s="3196"/>
    </row>
    <row r="122" spans="1:11" ht="18.75" customHeight="1">
      <c r="A122" s="3201" t="str">
        <f>IF(项目基本情况!B9="房地产市场价值","",MID(E107,3,LEN(E107)-2))</f>
        <v/>
      </c>
      <c r="B122" s="3201"/>
      <c r="C122" s="3201"/>
      <c r="D122" s="3190" t="str">
        <f>H107</f>
        <v>——</v>
      </c>
      <c r="E122" s="3191"/>
      <c r="F122" s="3191"/>
      <c r="G122" s="3191"/>
      <c r="H122" s="3191"/>
      <c r="I122" s="3192"/>
    </row>
    <row r="123" spans="1:11" ht="18.75" customHeight="1">
      <c r="A123" s="3146" t="s">
        <v>2270</v>
      </c>
      <c r="B123" s="3146"/>
      <c r="C123" s="3146"/>
      <c r="D123" s="3195" t="e">
        <f>NUMBERSTRING(INT(D122*10000),2)&amp;"元整"</f>
        <v>#VALUE!</v>
      </c>
      <c r="E123" s="3197"/>
      <c r="F123" s="3197"/>
      <c r="G123" s="3197"/>
      <c r="H123" s="3197"/>
      <c r="I123" s="3196"/>
    </row>
    <row r="124" spans="1:11" ht="18.75" customHeight="1">
      <c r="A124" s="3201" t="str">
        <f>IF(项目基本情况!B9="房地产市场价值","",MID(E109,3,LEN(E109)-2))</f>
        <v>抵押担保权已注销时的房地产抵押价值</v>
      </c>
      <c r="B124" s="3201"/>
      <c r="C124" s="3201"/>
      <c r="D124" s="3190">
        <f ca="1">H109</f>
        <v>183</v>
      </c>
      <c r="E124" s="3191"/>
      <c r="F124" s="3191"/>
      <c r="G124" s="3191"/>
      <c r="H124" s="3191"/>
      <c r="I124" s="3192"/>
    </row>
    <row r="125" spans="1:11" ht="18.75" customHeight="1">
      <c r="A125" s="3146" t="s">
        <v>2270</v>
      </c>
      <c r="B125" s="3146"/>
      <c r="C125" s="3146"/>
      <c r="D125" s="3195" t="str">
        <f ca="1">NUMBERSTRING(INT(D124*10000),2)&amp;"元整"</f>
        <v>壹佰捌拾叁万元整</v>
      </c>
      <c r="E125" s="3197"/>
      <c r="F125" s="3197"/>
      <c r="G125" s="3197"/>
      <c r="H125" s="3197"/>
      <c r="I125" s="3196"/>
    </row>
    <row r="126" spans="1:11" ht="18.75" customHeight="1">
      <c r="A126" s="3201" t="str">
        <f>IF(项目基本情况!B9="房地产市场价值","",MID(E111,3,LEN(E111)-2))</f>
        <v/>
      </c>
      <c r="B126" s="3201"/>
      <c r="C126" s="3201"/>
      <c r="D126" s="3190" t="str">
        <f>H111</f>
        <v>——</v>
      </c>
      <c r="E126" s="3191"/>
      <c r="F126" s="3191"/>
      <c r="G126" s="3191"/>
      <c r="H126" s="3191"/>
      <c r="I126" s="3192"/>
    </row>
    <row r="127" spans="1:11" ht="18.75" customHeight="1">
      <c r="A127" s="3146" t="s">
        <v>2270</v>
      </c>
      <c r="B127" s="3146"/>
      <c r="C127" s="3146"/>
      <c r="D127" s="3195" t="e">
        <f>NUMBERSTRING(INT(D126*10000),2)&amp;"元整"</f>
        <v>#VALUE!</v>
      </c>
      <c r="E127" s="3197"/>
      <c r="F127" s="3197"/>
      <c r="G127" s="3197"/>
      <c r="H127" s="3197"/>
      <c r="I127" s="3196"/>
    </row>
    <row r="128" spans="1:11" ht="21.75" customHeight="1">
      <c r="A128" s="3198" t="s">
        <v>2271</v>
      </c>
      <c r="B128" s="3198"/>
      <c r="C128" s="3198"/>
      <c r="D128" s="3198"/>
      <c r="E128" s="3198"/>
      <c r="F128" s="3198"/>
      <c r="G128" s="3198"/>
      <c r="H128" s="3198"/>
      <c r="I128" s="319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0" zoomScaleNormal="90" workbookViewId="0">
      <selection activeCell="M14" sqref="M14"/>
    </sheetView>
  </sheetViews>
  <sheetFormatPr defaultColWidth="9" defaultRowHeight="14.25"/>
  <cols>
    <col min="1" max="1" width="10.5" style="403" customWidth="1"/>
    <col min="2" max="2" width="15.75" style="403" customWidth="1"/>
    <col min="3" max="3" width="22.125" style="403" customWidth="1"/>
    <col min="4" max="4" width="12.25" style="403" customWidth="1"/>
    <col min="5" max="5" width="16.125" style="403" customWidth="1"/>
    <col min="6" max="6" width="12.25" style="403" customWidth="1"/>
    <col min="7" max="7" width="17.3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13.5" style="1119" customWidth="1"/>
    <col min="17" max="17" width="19.5" style="403" customWidth="1"/>
    <col min="18" max="18" width="11.25" style="403" customWidth="1"/>
    <col min="19" max="19" width="12.125" style="403" customWidth="1"/>
    <col min="20"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3037</v>
      </c>
      <c r="C1" s="1615" t="s">
        <v>2483</v>
      </c>
      <c r="D1" s="1616" t="s">
        <v>3016</v>
      </c>
      <c r="E1" s="1617"/>
      <c r="F1" s="2580" t="s">
        <v>3073</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2280</v>
      </c>
      <c r="B2" s="1414">
        <f>IF(C2="——",IF(B37="元/平方米",ROUND(C39*D3/10000,0),ROUND(F3*C39/10000,0)),IF(B37="元/平方米",ROUND(C39*D3/10000,0),ROUND(F3*C39/10000,0))-D2)</f>
        <v>272</v>
      </c>
      <c r="C2" s="2582" t="s">
        <v>70</v>
      </c>
      <c r="D2" s="1120" t="e">
        <f ca="1">SUMIF(INDIRECT("'"&amp;F2&amp;"'"&amp;"!A:A"),"承租人权益价值",INDIRECT("'"&amp;F2&amp;"'"&amp;"!c:c"))</f>
        <v>#REF!</v>
      </c>
      <c r="E2" s="2583" t="s">
        <v>2281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2282</v>
      </c>
      <c r="B3" s="609">
        <f>IF(AND(C2="——",B37="元/平方米"),C39,ROUND(B2*10000/D3,0))</f>
        <v>16477</v>
      </c>
      <c r="C3" s="400" t="s">
        <v>2597</v>
      </c>
      <c r="D3" s="399">
        <f>SUMIF('数据-汇总表'!$C19:$C33,D1,'数据-汇总表'!$E19:$E33)</f>
        <v>165.07999999999998</v>
      </c>
      <c r="E3" s="400" t="s">
        <v>2661</v>
      </c>
      <c r="F3" s="399">
        <f>SUMIF('数据-取费表'!A5:A15,D1,'数据-取费表'!AH5:AH15)</f>
        <v>10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04" t="s">
        <v>2600</v>
      </c>
      <c r="S4" s="3305"/>
      <c r="T4" s="3304" t="s">
        <v>2601</v>
      </c>
      <c r="U4" s="3305"/>
      <c r="V4" s="3329" t="s">
        <v>2602</v>
      </c>
      <c r="W4" s="3329"/>
      <c r="X4" s="1808"/>
      <c r="Y4" s="3304" t="s">
        <v>2604</v>
      </c>
      <c r="Z4" s="3305"/>
      <c r="AA4" s="3299" t="s">
        <v>2600</v>
      </c>
      <c r="AB4" s="3300" t="s">
        <v>2601</v>
      </c>
      <c r="AC4" s="3299" t="s">
        <v>2602</v>
      </c>
    </row>
    <row r="5" spans="1:29" ht="15">
      <c r="A5" s="404"/>
      <c r="B5" s="405"/>
      <c r="C5" s="3373" t="s">
        <v>3353</v>
      </c>
      <c r="D5" s="3311"/>
      <c r="E5" s="3372" t="s">
        <v>3354</v>
      </c>
      <c r="F5" s="3309"/>
      <c r="G5" s="3373" t="s">
        <v>3355</v>
      </c>
      <c r="H5" s="3311"/>
      <c r="I5" s="3373" t="s">
        <v>3356</v>
      </c>
      <c r="J5" s="3311"/>
      <c r="K5" s="610"/>
      <c r="L5" s="1126"/>
      <c r="M5" s="1127"/>
      <c r="N5" s="1127"/>
      <c r="O5" s="1127"/>
      <c r="P5" s="3323"/>
      <c r="Q5" s="3324"/>
      <c r="R5" s="3306"/>
      <c r="S5" s="3307"/>
      <c r="T5" s="3306"/>
      <c r="U5" s="3307"/>
      <c r="V5" s="3329"/>
      <c r="W5" s="3329"/>
      <c r="X5" s="1808"/>
      <c r="Y5" s="3306"/>
      <c r="Z5" s="3307"/>
      <c r="AA5" s="3300"/>
      <c r="AB5" s="3300"/>
      <c r="AC5" s="3300"/>
    </row>
    <row r="6" spans="1:29" ht="15.75" thickBot="1">
      <c r="A6" s="406"/>
      <c r="B6" s="407"/>
      <c r="C6" s="3312" t="s">
        <v>2499</v>
      </c>
      <c r="D6" s="3313"/>
      <c r="E6" s="3314" t="s">
        <v>2499</v>
      </c>
      <c r="F6" s="3315"/>
      <c r="G6" s="3312" t="s">
        <v>2499</v>
      </c>
      <c r="H6" s="3313"/>
      <c r="I6" s="3312" t="s">
        <v>2499</v>
      </c>
      <c r="J6" s="3313"/>
      <c r="K6" s="610" t="s">
        <v>2500</v>
      </c>
      <c r="L6" s="1126"/>
      <c r="M6" s="1127"/>
      <c r="N6" s="1127"/>
      <c r="O6" s="1127"/>
      <c r="P6" s="3325"/>
      <c r="Q6" s="3326"/>
      <c r="R6" s="3306"/>
      <c r="S6" s="3307"/>
      <c r="T6" s="3327"/>
      <c r="U6" s="3328"/>
      <c r="V6" s="3329"/>
      <c r="W6" s="3329"/>
      <c r="X6" s="1808"/>
      <c r="Y6" s="3327"/>
      <c r="Z6" s="3328"/>
      <c r="AA6" s="3301"/>
      <c r="AB6" s="3301"/>
      <c r="AC6" s="3301"/>
    </row>
    <row r="7" spans="1:29" s="117" customFormat="1" ht="15.75" thickBot="1">
      <c r="A7" s="408" t="s">
        <v>2501</v>
      </c>
      <c r="B7" s="409"/>
      <c r="C7" s="410">
        <f>'数据-取费表'!B2</f>
        <v>43795</v>
      </c>
      <c r="D7" s="411">
        <v>100</v>
      </c>
      <c r="E7" s="412">
        <v>43770</v>
      </c>
      <c r="F7" s="413">
        <f>SUMIF(48:48,YEAR(E7)&amp;"-"&amp;MONTH(E7),49:49)</f>
        <v>100</v>
      </c>
      <c r="G7" s="412">
        <v>43313</v>
      </c>
      <c r="H7" s="411">
        <f>SUMIF(48:48,YEAR(G7)&amp;"-"&amp;MONTH(G7),49:49)</f>
        <v>95</v>
      </c>
      <c r="I7" s="412">
        <v>43586</v>
      </c>
      <c r="J7" s="411">
        <f>SUMIF(48:48,YEAR(I7)&amp;"-"&amp;MONTH(I7),49:49)</f>
        <v>100</v>
      </c>
      <c r="K7" s="611"/>
      <c r="L7" s="1128"/>
      <c r="M7" s="1129"/>
      <c r="N7" s="1129"/>
      <c r="O7" s="1129"/>
      <c r="P7" s="3302" t="s">
        <v>2502</v>
      </c>
      <c r="Q7" s="3330"/>
      <c r="R7" s="770" t="s">
        <v>17</v>
      </c>
      <c r="S7" s="771">
        <f t="shared" ref="S7:S14" si="0">F7</f>
        <v>100</v>
      </c>
      <c r="T7" s="770" t="s">
        <v>17</v>
      </c>
      <c r="U7" s="771">
        <f t="shared" ref="U7:U14" si="1">H7</f>
        <v>95</v>
      </c>
      <c r="V7" s="770" t="s">
        <v>17</v>
      </c>
      <c r="W7" s="771">
        <f t="shared" ref="W7:W14" si="2">J7</f>
        <v>100</v>
      </c>
      <c r="X7" s="772"/>
      <c r="Y7" s="3302" t="s">
        <v>2502</v>
      </c>
      <c r="Z7" s="3303"/>
      <c r="AA7" s="773">
        <f>D7/F7</f>
        <v>1</v>
      </c>
      <c r="AB7" s="773">
        <f>D7/H7</f>
        <v>1.0526315789473684</v>
      </c>
      <c r="AC7" s="773">
        <f>D7/J7</f>
        <v>1</v>
      </c>
    </row>
    <row r="8" spans="1:29" s="117" customFormat="1" ht="15.75" thickBot="1">
      <c r="A8" s="408" t="s">
        <v>2503</v>
      </c>
      <c r="B8" s="409"/>
      <c r="C8" s="414" t="s">
        <v>2605</v>
      </c>
      <c r="D8" s="411">
        <v>100</v>
      </c>
      <c r="E8" s="414" t="s">
        <v>3069</v>
      </c>
      <c r="F8" s="413">
        <f>SUMIF(51:51,E8,52:52)-SUMIF(51:51,C8,52:52)+100</f>
        <v>100</v>
      </c>
      <c r="G8" s="414" t="s">
        <v>3069</v>
      </c>
      <c r="H8" s="411">
        <f>SUMIF(51:51,G8,52:52)-SUMIF(51:51,C8,52:52)+100</f>
        <v>100</v>
      </c>
      <c r="I8" s="414" t="s">
        <v>3069</v>
      </c>
      <c r="J8" s="411">
        <f>SUMIF(51:51,I8,52:52)-SUMIF(51:51,C8,52:52)+100</f>
        <v>100</v>
      </c>
      <c r="K8" s="611"/>
      <c r="L8" s="1128"/>
      <c r="M8" s="1129"/>
      <c r="N8" s="1129"/>
      <c r="O8" s="1129"/>
      <c r="P8" s="3302" t="s">
        <v>2505</v>
      </c>
      <c r="Q8" s="3303"/>
      <c r="R8" s="770" t="s">
        <v>17</v>
      </c>
      <c r="S8" s="771">
        <f t="shared" si="0"/>
        <v>100</v>
      </c>
      <c r="T8" s="770" t="s">
        <v>17</v>
      </c>
      <c r="U8" s="771">
        <f t="shared" si="1"/>
        <v>100</v>
      </c>
      <c r="V8" s="770" t="s">
        <v>17</v>
      </c>
      <c r="W8" s="771">
        <f t="shared" si="2"/>
        <v>100</v>
      </c>
      <c r="X8" s="772"/>
      <c r="Y8" s="3302" t="s">
        <v>2505</v>
      </c>
      <c r="Z8" s="3303"/>
      <c r="AA8" s="773">
        <f t="shared" ref="AA8:AA36" si="3">D8/F8</f>
        <v>1</v>
      </c>
      <c r="AB8" s="773">
        <f t="shared" ref="AB8:AB36" si="4">D8/H8</f>
        <v>1</v>
      </c>
      <c r="AC8" s="773">
        <f t="shared" ref="AC8:AC36" si="5">D8/J8</f>
        <v>1</v>
      </c>
    </row>
    <row r="9" spans="1:29" s="117" customFormat="1">
      <c r="A9" s="68" t="s">
        <v>2506</v>
      </c>
      <c r="B9" s="640" t="s">
        <v>2507</v>
      </c>
      <c r="C9" s="2972" t="s">
        <v>3103</v>
      </c>
      <c r="D9" s="135">
        <v>100</v>
      </c>
      <c r="E9" s="419" t="s">
        <v>3102</v>
      </c>
      <c r="F9" s="135">
        <f>SUMIF(53:53,E9,54:54)-SUMIF(53:53,C9,54:54)+100</f>
        <v>100</v>
      </c>
      <c r="G9" s="419" t="s">
        <v>3102</v>
      </c>
      <c r="H9" s="135">
        <f>SUMIF(53:53,G9,54:54)-SUMIF(53:53,C9,54:54)+100</f>
        <v>100</v>
      </c>
      <c r="I9" s="419" t="s">
        <v>3102</v>
      </c>
      <c r="J9" s="135">
        <f>SUMIF(53:53,I9,54:54)-SUMIF(53:53,C9,54:54)+100</f>
        <v>100</v>
      </c>
      <c r="K9" s="611"/>
      <c r="L9" s="1128"/>
      <c r="M9" s="1129"/>
      <c r="N9" s="1129"/>
      <c r="O9" s="1129"/>
      <c r="P9" s="3334" t="s">
        <v>2508</v>
      </c>
      <c r="Q9" s="1790" t="str">
        <f t="shared" ref="Q9:Q14" si="6">B9</f>
        <v>用途</v>
      </c>
      <c r="R9" s="770" t="s">
        <v>17</v>
      </c>
      <c r="S9" s="771">
        <f t="shared" si="0"/>
        <v>100</v>
      </c>
      <c r="T9" s="770" t="s">
        <v>17</v>
      </c>
      <c r="U9" s="771">
        <f t="shared" si="1"/>
        <v>100</v>
      </c>
      <c r="V9" s="770" t="s">
        <v>17</v>
      </c>
      <c r="W9" s="771">
        <f t="shared" si="2"/>
        <v>100</v>
      </c>
      <c r="X9" s="772"/>
      <c r="Y9" s="3146" t="s">
        <v>2509</v>
      </c>
      <c r="Z9" s="55" t="str">
        <f t="shared" ref="Z9:Z14" si="7">Q9</f>
        <v>用途</v>
      </c>
      <c r="AA9" s="773">
        <f t="shared" si="3"/>
        <v>1</v>
      </c>
      <c r="AB9" s="773">
        <f t="shared" si="4"/>
        <v>1</v>
      </c>
      <c r="AC9" s="773">
        <f t="shared" si="5"/>
        <v>1</v>
      </c>
    </row>
    <row r="10" spans="1:29" s="427" customFormat="1" ht="27">
      <c r="A10" s="641"/>
      <c r="B10" s="642" t="s">
        <v>2510</v>
      </c>
      <c r="C10" s="423" t="s">
        <v>3068</v>
      </c>
      <c r="D10" s="136">
        <v>100</v>
      </c>
      <c r="E10" s="423" t="s">
        <v>3068</v>
      </c>
      <c r="F10" s="136">
        <f>SUMIF(55:55,E10,56:56)-SUMIF(55:55,C10,56:56)+100</f>
        <v>100</v>
      </c>
      <c r="G10" s="423" t="s">
        <v>3068</v>
      </c>
      <c r="H10" s="136">
        <f>SUMIF(55:55,G10,56:56)-SUMIF(55:55,C10,56:56)+100</f>
        <v>100</v>
      </c>
      <c r="I10" s="423" t="s">
        <v>3068</v>
      </c>
      <c r="J10" s="136">
        <f>SUMIF(55:55,I10,56:56)-SUMIF(55:55,C10,56:56)+100</f>
        <v>100</v>
      </c>
      <c r="K10" s="612">
        <v>1</v>
      </c>
      <c r="L10" s="1131"/>
      <c r="M10" s="1132"/>
      <c r="N10" s="1132"/>
      <c r="O10" s="1132"/>
      <c r="P10" s="3334"/>
      <c r="Q10" s="1790" t="str">
        <f t="shared" si="6"/>
        <v>土地使用年限（年）</v>
      </c>
      <c r="R10" s="770" t="s">
        <v>17</v>
      </c>
      <c r="S10" s="771">
        <f t="shared" si="0"/>
        <v>100</v>
      </c>
      <c r="T10" s="770" t="s">
        <v>17</v>
      </c>
      <c r="U10" s="771">
        <f t="shared" si="1"/>
        <v>100</v>
      </c>
      <c r="V10" s="770" t="s">
        <v>17</v>
      </c>
      <c r="W10" s="771">
        <f t="shared" si="2"/>
        <v>100</v>
      </c>
      <c r="X10" s="772"/>
      <c r="Y10" s="3146"/>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334"/>
      <c r="Q11" s="1790">
        <f t="shared" si="6"/>
        <v>0</v>
      </c>
      <c r="R11" s="770" t="s">
        <v>17</v>
      </c>
      <c r="S11" s="771">
        <f t="shared" si="0"/>
        <v>100</v>
      </c>
      <c r="T11" s="770" t="s">
        <v>17</v>
      </c>
      <c r="U11" s="771">
        <f t="shared" si="1"/>
        <v>100</v>
      </c>
      <c r="V11" s="770" t="s">
        <v>17</v>
      </c>
      <c r="W11" s="771">
        <f t="shared" si="2"/>
        <v>100</v>
      </c>
      <c r="X11" s="772"/>
      <c r="Y11" s="3146"/>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334"/>
      <c r="Q12" s="1790">
        <f t="shared" si="6"/>
        <v>0</v>
      </c>
      <c r="R12" s="770" t="s">
        <v>17</v>
      </c>
      <c r="S12" s="771">
        <f t="shared" si="0"/>
        <v>100</v>
      </c>
      <c r="T12" s="770" t="s">
        <v>17</v>
      </c>
      <c r="U12" s="771">
        <f t="shared" si="1"/>
        <v>100</v>
      </c>
      <c r="V12" s="770" t="s">
        <v>17</v>
      </c>
      <c r="W12" s="771">
        <f t="shared" si="2"/>
        <v>100</v>
      </c>
      <c r="X12" s="772"/>
      <c r="Y12" s="3146"/>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334"/>
      <c r="Q13" s="1790">
        <f t="shared" si="6"/>
        <v>0</v>
      </c>
      <c r="R13" s="770" t="s">
        <v>17</v>
      </c>
      <c r="S13" s="771">
        <f t="shared" si="0"/>
        <v>100</v>
      </c>
      <c r="T13" s="770" t="s">
        <v>17</v>
      </c>
      <c r="U13" s="771">
        <f t="shared" si="1"/>
        <v>100</v>
      </c>
      <c r="V13" s="770" t="s">
        <v>17</v>
      </c>
      <c r="W13" s="771">
        <f t="shared" si="2"/>
        <v>100</v>
      </c>
      <c r="X13" s="772"/>
      <c r="Y13" s="3146"/>
      <c r="Z13" s="55">
        <f t="shared" si="7"/>
        <v>0</v>
      </c>
      <c r="AA13" s="773">
        <f t="shared" si="3"/>
        <v>1</v>
      </c>
      <c r="AB13" s="773">
        <f t="shared" si="4"/>
        <v>1</v>
      </c>
      <c r="AC13" s="773">
        <f t="shared" si="5"/>
        <v>1</v>
      </c>
    </row>
    <row r="14" spans="1:29" ht="99.75">
      <c r="A14" s="401" t="s">
        <v>2512</v>
      </c>
      <c r="B14" s="62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t="s">
        <v>3070</v>
      </c>
      <c r="F14" s="443">
        <f>SUMIF(63:63,E15,64:64)-SUMIF(63:63,C15,64:64)+100</f>
        <v>100</v>
      </c>
      <c r="G14" s="442" t="s">
        <v>3070</v>
      </c>
      <c r="H14" s="441">
        <f>SUMIF(63:63,G15,64:64)-SUMIF(63:63,C15,64:64)+100</f>
        <v>100</v>
      </c>
      <c r="I14" s="442" t="s">
        <v>3070</v>
      </c>
      <c r="J14" s="441">
        <f>SUMIF(63:63,I15,64:64)-SUMIF(63:63,C15,64:64)+100</f>
        <v>100</v>
      </c>
      <c r="K14" s="614">
        <v>2</v>
      </c>
      <c r="L14" s="1136"/>
      <c r="M14" s="1127"/>
      <c r="N14" s="1127"/>
      <c r="O14" s="1127"/>
      <c r="P14" s="3336" t="s">
        <v>2513</v>
      </c>
      <c r="Q14" s="1805" t="str">
        <f t="shared" si="6"/>
        <v>交通便捷度</v>
      </c>
      <c r="R14" s="774" t="s">
        <v>17</v>
      </c>
      <c r="S14" s="775">
        <f t="shared" si="0"/>
        <v>100</v>
      </c>
      <c r="T14" s="774" t="s">
        <v>17</v>
      </c>
      <c r="U14" s="775">
        <f t="shared" si="1"/>
        <v>100</v>
      </c>
      <c r="V14" s="774" t="s">
        <v>17</v>
      </c>
      <c r="W14" s="775">
        <f t="shared" si="2"/>
        <v>100</v>
      </c>
      <c r="X14" s="1808"/>
      <c r="Y14" s="3336" t="s">
        <v>2513</v>
      </c>
      <c r="Z14" s="1809" t="str">
        <f t="shared" si="7"/>
        <v>交通便捷度</v>
      </c>
      <c r="AA14" s="1806">
        <f t="shared" si="3"/>
        <v>1</v>
      </c>
      <c r="AB14" s="1806">
        <f t="shared" si="4"/>
        <v>1</v>
      </c>
      <c r="AC14" s="1806">
        <f t="shared" si="5"/>
        <v>1</v>
      </c>
    </row>
    <row r="15" spans="1:29" ht="15">
      <c r="A15" s="404"/>
      <c r="B15" s="647"/>
      <c r="C15" s="447" t="s">
        <v>3065</v>
      </c>
      <c r="D15" s="448"/>
      <c r="E15" s="447" t="s">
        <v>3065</v>
      </c>
      <c r="F15" s="449"/>
      <c r="G15" s="447" t="s">
        <v>3065</v>
      </c>
      <c r="H15" s="450"/>
      <c r="I15" s="447" t="s">
        <v>3065</v>
      </c>
      <c r="J15" s="448"/>
      <c r="K15" s="615"/>
      <c r="L15" s="1136"/>
      <c r="M15" s="1127"/>
      <c r="N15" s="1127"/>
      <c r="O15" s="1127"/>
      <c r="P15" s="3337"/>
      <c r="Q15" s="1805"/>
      <c r="R15" s="774"/>
      <c r="S15" s="775"/>
      <c r="T15" s="774"/>
      <c r="U15" s="775"/>
      <c r="V15" s="774"/>
      <c r="W15" s="775"/>
      <c r="X15" s="1808"/>
      <c r="Y15" s="3337"/>
      <c r="Z15" s="1809"/>
      <c r="AA15" s="1806">
        <v>1</v>
      </c>
      <c r="AB15" s="1806">
        <v>1</v>
      </c>
      <c r="AC15" s="1806">
        <v>1</v>
      </c>
    </row>
    <row r="16" spans="1:29" ht="40.5">
      <c r="A16" s="404"/>
      <c r="B16" s="631" t="s">
        <v>2641</v>
      </c>
      <c r="C16" s="2603" t="str">
        <f>IF(B1="工业",估价对象房地状况!G5,估价对象房地状况!C7)</f>
        <v>估价对象所在区域公共配套设施齐备情况较好</v>
      </c>
      <c r="D16" s="455">
        <v>100</v>
      </c>
      <c r="E16" s="3067" t="s">
        <v>3357</v>
      </c>
      <c r="F16" s="458">
        <f>SUMIF(65:65,E17,66:66)-SUMIF(65:65,C17,66:66)+100</f>
        <v>100</v>
      </c>
      <c r="G16" s="3067" t="s">
        <v>3357</v>
      </c>
      <c r="H16" s="455">
        <f>SUMIF(65:65,G17,66:66)-SUMIF(65:65,C17,66:66)+100</f>
        <v>100</v>
      </c>
      <c r="I16" s="3067" t="s">
        <v>3357</v>
      </c>
      <c r="J16" s="455">
        <f>SUMIF(65:65,I17,66:66)-SUMIF(65:65,C17,66:66)+100</f>
        <v>100</v>
      </c>
      <c r="K16" s="614">
        <v>1</v>
      </c>
      <c r="L16" s="1136"/>
      <c r="M16" s="1127"/>
      <c r="N16" s="1127"/>
      <c r="O16" s="1127"/>
      <c r="P16" s="3337"/>
      <c r="Q16" s="1805" t="str">
        <f>B16</f>
        <v>公共配套设施</v>
      </c>
      <c r="R16" s="774" t="s">
        <v>17</v>
      </c>
      <c r="S16" s="775">
        <f>F16</f>
        <v>100</v>
      </c>
      <c r="T16" s="774" t="s">
        <v>17</v>
      </c>
      <c r="U16" s="775">
        <f>H16</f>
        <v>100</v>
      </c>
      <c r="V16" s="774" t="s">
        <v>17</v>
      </c>
      <c r="W16" s="775">
        <f>J16</f>
        <v>100</v>
      </c>
      <c r="X16" s="1808"/>
      <c r="Y16" s="3337"/>
      <c r="Z16" s="1809" t="str">
        <f>Q16</f>
        <v>公共配套设施</v>
      </c>
      <c r="AA16" s="1806">
        <f t="shared" si="3"/>
        <v>1</v>
      </c>
      <c r="AB16" s="1806">
        <f t="shared" si="4"/>
        <v>1</v>
      </c>
      <c r="AC16" s="1806">
        <f t="shared" si="5"/>
        <v>1</v>
      </c>
    </row>
    <row r="17" spans="1:29" ht="15">
      <c r="A17" s="404"/>
      <c r="B17" s="632"/>
      <c r="C17" s="2604" t="s">
        <v>3065</v>
      </c>
      <c r="D17" s="448"/>
      <c r="E17" s="447" t="s">
        <v>3065</v>
      </c>
      <c r="F17" s="449"/>
      <c r="G17" s="447" t="s">
        <v>3065</v>
      </c>
      <c r="H17" s="448"/>
      <c r="I17" s="447" t="s">
        <v>3065</v>
      </c>
      <c r="J17" s="448"/>
      <c r="K17" s="615"/>
      <c r="L17" s="1136"/>
      <c r="M17" s="1127"/>
      <c r="N17" s="1127"/>
      <c r="O17" s="1127"/>
      <c r="P17" s="3337"/>
      <c r="Q17" s="1805"/>
      <c r="R17" s="774"/>
      <c r="S17" s="775"/>
      <c r="T17" s="774"/>
      <c r="U17" s="775"/>
      <c r="V17" s="774"/>
      <c r="W17" s="775"/>
      <c r="X17" s="1808"/>
      <c r="Y17" s="3337"/>
      <c r="Z17" s="1809"/>
      <c r="AA17" s="1806">
        <v>1</v>
      </c>
      <c r="AB17" s="1806">
        <v>1</v>
      </c>
      <c r="AC17" s="1806">
        <v>1</v>
      </c>
    </row>
    <row r="18" spans="1:29" ht="40.5">
      <c r="A18" s="404"/>
      <c r="B18" s="633" t="s">
        <v>2642</v>
      </c>
      <c r="C18" s="2603" t="str">
        <f>IF(B1="工业",估价对象房地状况!G6,估价对象房地状况!C8)</f>
        <v>估价对象所在区域基础设施水平较好</v>
      </c>
      <c r="D18" s="450">
        <v>100</v>
      </c>
      <c r="E18" s="3068" t="s">
        <v>3358</v>
      </c>
      <c r="F18" s="458">
        <f>SUMIF(67:67,E19,68:68)-SUMIF(67:67,C19,68:68)+100</f>
        <v>100</v>
      </c>
      <c r="G18" s="3068" t="s">
        <v>3358</v>
      </c>
      <c r="H18" s="455">
        <f>SUMIF(67:67,G19,68:68)-SUMIF(67:67,C19,68:68)+100</f>
        <v>100</v>
      </c>
      <c r="I18" s="3068" t="s">
        <v>3358</v>
      </c>
      <c r="J18" s="455">
        <f>SUMIF(67:67,I19,68:68)-SUMIF(67:67,C19,68:68)+100</f>
        <v>100</v>
      </c>
      <c r="K18" s="614">
        <v>1</v>
      </c>
      <c r="L18" s="1136"/>
      <c r="M18" s="1127"/>
      <c r="N18" s="1127"/>
      <c r="O18" s="1127"/>
      <c r="P18" s="3337"/>
      <c r="Q18" s="1805" t="str">
        <f>B18</f>
        <v>基础设施水平</v>
      </c>
      <c r="R18" s="774" t="s">
        <v>17</v>
      </c>
      <c r="S18" s="775">
        <f>F18</f>
        <v>100</v>
      </c>
      <c r="T18" s="774" t="s">
        <v>17</v>
      </c>
      <c r="U18" s="775">
        <f>H18</f>
        <v>100</v>
      </c>
      <c r="V18" s="774" t="s">
        <v>17</v>
      </c>
      <c r="W18" s="775">
        <f>J18</f>
        <v>100</v>
      </c>
      <c r="X18" s="1808"/>
      <c r="Y18" s="3337"/>
      <c r="Z18" s="1809" t="str">
        <f>Q18</f>
        <v>基础设施水平</v>
      </c>
      <c r="AA18" s="1806">
        <f t="shared" ref="AA18" si="8">D18/F18</f>
        <v>1</v>
      </c>
      <c r="AB18" s="1806">
        <f t="shared" ref="AB18" si="9">D18/H18</f>
        <v>1</v>
      </c>
      <c r="AC18" s="1806">
        <f t="shared" ref="AC18" si="10">D18/J18</f>
        <v>1</v>
      </c>
    </row>
    <row r="19" spans="1:29" ht="15">
      <c r="A19" s="404"/>
      <c r="B19" s="633"/>
      <c r="C19" s="2604" t="s">
        <v>3059</v>
      </c>
      <c r="D19" s="450"/>
      <c r="E19" s="2604" t="s">
        <v>3059</v>
      </c>
      <c r="F19" s="453"/>
      <c r="G19" s="2604" t="s">
        <v>3059</v>
      </c>
      <c r="H19" s="448"/>
      <c r="I19" s="2604" t="s">
        <v>3059</v>
      </c>
      <c r="J19" s="448"/>
      <c r="K19" s="1379"/>
      <c r="L19" s="1136"/>
      <c r="M19" s="1127"/>
      <c r="N19" s="1127"/>
      <c r="O19" s="1127"/>
      <c r="P19" s="3337"/>
      <c r="Q19" s="1805"/>
      <c r="R19" s="774"/>
      <c r="S19" s="775"/>
      <c r="T19" s="774"/>
      <c r="U19" s="775"/>
      <c r="V19" s="774"/>
      <c r="W19" s="775"/>
      <c r="X19" s="1808"/>
      <c r="Y19" s="3337"/>
      <c r="Z19" s="1809"/>
      <c r="AA19" s="1806">
        <v>1</v>
      </c>
      <c r="AB19" s="1806">
        <v>1</v>
      </c>
      <c r="AC19" s="1806">
        <v>1</v>
      </c>
    </row>
    <row r="20" spans="1:29" ht="57">
      <c r="A20" s="404"/>
      <c r="B20" s="631" t="s">
        <v>2663</v>
      </c>
      <c r="C20" s="2603" t="str">
        <f>IF(B1="工业",估价对象房地状况!G7,估价对象房地状况!C9)</f>
        <v>区域自然环境好：周边临近朝阳公园；人文环境好：周边临近农业展览馆；综合评价环境状况好</v>
      </c>
      <c r="D20" s="455">
        <v>100</v>
      </c>
      <c r="E20" s="3067" t="s">
        <v>3359</v>
      </c>
      <c r="F20" s="458">
        <f>SUMIF(69:69,E21,70:70)-SUMIF(69:69,C21,70:70)+100</f>
        <v>100</v>
      </c>
      <c r="G20" s="3067" t="s">
        <v>3359</v>
      </c>
      <c r="H20" s="450">
        <f>SUMIF(69:69,G21,70:70)-SUMIF(69:69,C21,70:70)+100</f>
        <v>100</v>
      </c>
      <c r="I20" s="3067" t="s">
        <v>3359</v>
      </c>
      <c r="J20" s="450">
        <f>SUMIF(69:69,I21,70:70)-SUMIF(69:69,C21,70:70)+100</f>
        <v>100</v>
      </c>
      <c r="K20" s="614">
        <v>1</v>
      </c>
      <c r="L20" s="1136"/>
      <c r="M20" s="1127"/>
      <c r="N20" s="1127"/>
      <c r="O20" s="1127"/>
      <c r="P20" s="3337"/>
      <c r="Q20" s="1805" t="str">
        <f>B20</f>
        <v>自然及人文环境</v>
      </c>
      <c r="R20" s="774" t="s">
        <v>17</v>
      </c>
      <c r="S20" s="775">
        <f>F20</f>
        <v>100</v>
      </c>
      <c r="T20" s="774" t="s">
        <v>17</v>
      </c>
      <c r="U20" s="775">
        <f>H20</f>
        <v>100</v>
      </c>
      <c r="V20" s="774" t="s">
        <v>17</v>
      </c>
      <c r="W20" s="775">
        <f>J20</f>
        <v>100</v>
      </c>
      <c r="X20" s="1808"/>
      <c r="Y20" s="3337"/>
      <c r="Z20" s="1809" t="str">
        <f>Q20</f>
        <v>自然及人文环境</v>
      </c>
      <c r="AA20" s="1806">
        <f t="shared" si="3"/>
        <v>1</v>
      </c>
      <c r="AB20" s="1806">
        <f t="shared" si="4"/>
        <v>1</v>
      </c>
      <c r="AC20" s="1806">
        <f t="shared" si="5"/>
        <v>1</v>
      </c>
    </row>
    <row r="21" spans="1:29" ht="15">
      <c r="A21" s="404"/>
      <c r="B21" s="632"/>
      <c r="C21" s="447" t="s">
        <v>3360</v>
      </c>
      <c r="D21" s="448"/>
      <c r="E21" s="447" t="s">
        <v>3360</v>
      </c>
      <c r="F21" s="449"/>
      <c r="G21" s="447" t="s">
        <v>3360</v>
      </c>
      <c r="H21" s="448"/>
      <c r="I21" s="447" t="s">
        <v>3360</v>
      </c>
      <c r="J21" s="448"/>
      <c r="K21" s="615"/>
      <c r="L21" s="1136"/>
      <c r="M21" s="1127"/>
      <c r="N21" s="1127"/>
      <c r="O21" s="1127"/>
      <c r="P21" s="3337"/>
      <c r="Q21" s="1805"/>
      <c r="R21" s="774"/>
      <c r="S21" s="775"/>
      <c r="T21" s="774"/>
      <c r="U21" s="775"/>
      <c r="V21" s="774"/>
      <c r="W21" s="775"/>
      <c r="X21" s="1808"/>
      <c r="Y21" s="3337"/>
      <c r="Z21" s="1809"/>
      <c r="AA21" s="1806">
        <v>1</v>
      </c>
      <c r="AB21" s="1806">
        <v>1</v>
      </c>
      <c r="AC21" s="1806">
        <v>1</v>
      </c>
    </row>
    <row r="22" spans="1:29" ht="15">
      <c r="A22" s="404"/>
      <c r="B22" s="631" t="s">
        <v>2664</v>
      </c>
      <c r="C22" s="616" t="s">
        <v>3361</v>
      </c>
      <c r="D22" s="450">
        <v>100</v>
      </c>
      <c r="E22" s="616" t="s">
        <v>3104</v>
      </c>
      <c r="F22" s="461">
        <f>SUMIF(71:71,E22,72:72)-SUMIF(71:71,C22,72:72)+100</f>
        <v>102</v>
      </c>
      <c r="G22" s="616" t="s">
        <v>3104</v>
      </c>
      <c r="H22" s="435">
        <f>SUMIF(71:71,G22,72:72)-SUMIF(71:71,C22,72:72)+100</f>
        <v>102</v>
      </c>
      <c r="I22" s="616" t="s">
        <v>3104</v>
      </c>
      <c r="J22" s="435">
        <f>SUMIF(71:71,I22,72:72)-SUMIF(71:71,C22,72:72)+100</f>
        <v>102</v>
      </c>
      <c r="K22" s="612">
        <v>2</v>
      </c>
      <c r="L22" s="1136"/>
      <c r="M22" s="1127"/>
      <c r="N22" s="1127"/>
      <c r="O22" s="1127"/>
      <c r="P22" s="3337"/>
      <c r="Q22" s="1805" t="str">
        <f>B22</f>
        <v>楼层</v>
      </c>
      <c r="R22" s="774" t="s">
        <v>17</v>
      </c>
      <c r="S22" s="775">
        <f>F22</f>
        <v>102</v>
      </c>
      <c r="T22" s="774" t="s">
        <v>17</v>
      </c>
      <c r="U22" s="775">
        <f>H22</f>
        <v>102</v>
      </c>
      <c r="V22" s="774" t="s">
        <v>17</v>
      </c>
      <c r="W22" s="775">
        <f>J22</f>
        <v>102</v>
      </c>
      <c r="X22" s="1808"/>
      <c r="Y22" s="3337"/>
      <c r="Z22" s="1809" t="str">
        <f>Q22</f>
        <v>楼层</v>
      </c>
      <c r="AA22" s="1806">
        <f t="shared" si="3"/>
        <v>0.98039215686274506</v>
      </c>
      <c r="AB22" s="1806">
        <f t="shared" si="4"/>
        <v>0.98039215686274506</v>
      </c>
      <c r="AC22" s="1806">
        <f t="shared" si="5"/>
        <v>0.98039215686274506</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37"/>
      <c r="Q23" s="1805">
        <f>B23</f>
        <v>0</v>
      </c>
      <c r="R23" s="774" t="s">
        <v>17</v>
      </c>
      <c r="S23" s="775">
        <f>F23</f>
        <v>100</v>
      </c>
      <c r="T23" s="774" t="s">
        <v>17</v>
      </c>
      <c r="U23" s="775">
        <f>H23</f>
        <v>100</v>
      </c>
      <c r="V23" s="774" t="s">
        <v>17</v>
      </c>
      <c r="W23" s="775">
        <f>J23</f>
        <v>100</v>
      </c>
      <c r="X23" s="1808"/>
      <c r="Y23" s="3337"/>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37"/>
      <c r="Q24" s="1805">
        <f t="shared" ref="Q24:Q36" si="11">B24</f>
        <v>0</v>
      </c>
      <c r="R24" s="774" t="s">
        <v>17</v>
      </c>
      <c r="S24" s="775">
        <f>F24</f>
        <v>100</v>
      </c>
      <c r="T24" s="774" t="s">
        <v>17</v>
      </c>
      <c r="U24" s="775">
        <f>H24</f>
        <v>100</v>
      </c>
      <c r="V24" s="774" t="s">
        <v>17</v>
      </c>
      <c r="W24" s="775">
        <f>J24</f>
        <v>100</v>
      </c>
      <c r="X24" s="1808"/>
      <c r="Y24" s="3337"/>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337"/>
      <c r="Q25" s="1790">
        <f t="shared" si="11"/>
        <v>0</v>
      </c>
      <c r="R25" s="770" t="s">
        <v>17</v>
      </c>
      <c r="S25" s="771">
        <f>F25</f>
        <v>100</v>
      </c>
      <c r="T25" s="770" t="s">
        <v>17</v>
      </c>
      <c r="U25" s="771">
        <f>H25</f>
        <v>100</v>
      </c>
      <c r="V25" s="770" t="s">
        <v>17</v>
      </c>
      <c r="W25" s="771">
        <f>J25</f>
        <v>100</v>
      </c>
      <c r="X25" s="772"/>
      <c r="Y25" s="3337"/>
      <c r="Z25" s="55">
        <f>Q25</f>
        <v>0</v>
      </c>
      <c r="AA25" s="1806">
        <f>D25/F25</f>
        <v>1</v>
      </c>
      <c r="AB25" s="1806">
        <f>D25/H25</f>
        <v>1</v>
      </c>
      <c r="AC25" s="1806">
        <f>D25/J25</f>
        <v>1</v>
      </c>
    </row>
    <row r="26" spans="1:29" ht="28.5">
      <c r="A26" s="652" t="s">
        <v>2516</v>
      </c>
      <c r="B26" s="70" t="s">
        <v>2665</v>
      </c>
      <c r="C26" s="2690"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6"/>
      <c r="M26" s="1127"/>
      <c r="N26" s="1127"/>
      <c r="O26" s="1127"/>
      <c r="P26" s="3386" t="s">
        <v>2518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341" t="s">
        <v>2518</v>
      </c>
      <c r="Z26" s="1809" t="str">
        <f t="shared" ref="Z26:Z36" si="15">Q26</f>
        <v>配套类型</v>
      </c>
      <c r="AA26" s="1806">
        <f t="shared" si="3"/>
        <v>1</v>
      </c>
      <c r="AB26" s="1806">
        <f t="shared" si="4"/>
        <v>1</v>
      </c>
      <c r="AC26" s="1806">
        <f t="shared" si="5"/>
        <v>1</v>
      </c>
    </row>
    <row r="27" spans="1:29" s="471" customFormat="1" ht="15">
      <c r="A27" s="653"/>
      <c r="B27" s="654" t="s">
        <v>2666</v>
      </c>
      <c r="C27" s="655" t="s">
        <v>3049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4"/>
      <c r="M27" s="1137"/>
      <c r="N27" s="1137"/>
      <c r="O27" s="1137"/>
      <c r="P27" s="3341"/>
      <c r="Q27" s="776" t="str">
        <f t="shared" si="11"/>
        <v>项目停车位配比</v>
      </c>
      <c r="R27" s="777" t="s">
        <v>17</v>
      </c>
      <c r="S27" s="778">
        <f t="shared" si="12"/>
        <v>100</v>
      </c>
      <c r="T27" s="777" t="s">
        <v>17</v>
      </c>
      <c r="U27" s="778">
        <f t="shared" si="13"/>
        <v>100</v>
      </c>
      <c r="V27" s="777" t="s">
        <v>17</v>
      </c>
      <c r="W27" s="778">
        <f t="shared" si="14"/>
        <v>100</v>
      </c>
      <c r="X27" s="779"/>
      <c r="Y27" s="3341"/>
      <c r="Z27" s="780" t="str">
        <f t="shared" si="15"/>
        <v>项目停车位配比</v>
      </c>
      <c r="AA27" s="1806">
        <f t="shared" si="3"/>
        <v>1</v>
      </c>
      <c r="AB27" s="1806">
        <f t="shared" si="4"/>
        <v>1</v>
      </c>
      <c r="AC27" s="1806">
        <f t="shared" si="5"/>
        <v>1</v>
      </c>
    </row>
    <row r="28" spans="1:29" ht="15">
      <c r="A28" s="656"/>
      <c r="B28" s="654" t="s">
        <v>2667</v>
      </c>
      <c r="C28" s="460" t="s">
        <v>3106</v>
      </c>
      <c r="D28" s="435">
        <v>100</v>
      </c>
      <c r="E28" s="460" t="s">
        <v>3106</v>
      </c>
      <c r="F28" s="461">
        <f>SUMIF(83:83,E28,84:84)-SUMIF(83:83,C28,84:84)+100</f>
        <v>100</v>
      </c>
      <c r="G28" s="460" t="s">
        <v>3106</v>
      </c>
      <c r="H28" s="435">
        <f>SUMIF(83:83,G28,84:84)-SUMIF(83:83,C28,84:84)+100</f>
        <v>100</v>
      </c>
      <c r="I28" s="460" t="s">
        <v>3106</v>
      </c>
      <c r="J28" s="435">
        <f>SUMIF(83:83,I28,84:84)-SUMIF(83:83,C28,84:84)+100</f>
        <v>100</v>
      </c>
      <c r="K28" s="612">
        <v>1</v>
      </c>
      <c r="L28" s="1136"/>
      <c r="M28" s="1127"/>
      <c r="N28" s="1127"/>
      <c r="O28" s="1127"/>
      <c r="P28" s="3341"/>
      <c r="Q28" s="1805" t="str">
        <f t="shared" si="11"/>
        <v>公共部分装修</v>
      </c>
      <c r="R28" s="774" t="s">
        <v>17</v>
      </c>
      <c r="S28" s="775">
        <f t="shared" si="12"/>
        <v>100</v>
      </c>
      <c r="T28" s="774" t="s">
        <v>17</v>
      </c>
      <c r="U28" s="775">
        <f t="shared" si="13"/>
        <v>100</v>
      </c>
      <c r="V28" s="774" t="s">
        <v>17</v>
      </c>
      <c r="W28" s="775">
        <f t="shared" si="14"/>
        <v>100</v>
      </c>
      <c r="X28" s="1808"/>
      <c r="Y28" s="3341"/>
      <c r="Z28" s="1809" t="str">
        <f t="shared" si="15"/>
        <v>公共部分装修</v>
      </c>
      <c r="AA28" s="1806">
        <f t="shared" si="3"/>
        <v>1</v>
      </c>
      <c r="AB28" s="1806">
        <f t="shared" si="4"/>
        <v>1</v>
      </c>
      <c r="AC28" s="1806">
        <f t="shared" si="5"/>
        <v>1</v>
      </c>
    </row>
    <row r="29" spans="1:29" ht="15">
      <c r="A29" s="656"/>
      <c r="B29" s="654" t="s">
        <v>2668</v>
      </c>
      <c r="C29" s="2977">
        <f>'数据-取费表'!N6</f>
        <v>0.62</v>
      </c>
      <c r="D29" s="435">
        <v>100</v>
      </c>
      <c r="E29" s="474">
        <v>0.62</v>
      </c>
      <c r="F29" s="461">
        <f>LOOKUP(E29,86:86,87:87)-LOOKUP(C29,86:86,87:87)+100</f>
        <v>100</v>
      </c>
      <c r="G29" s="474">
        <v>0.62</v>
      </c>
      <c r="H29" s="461">
        <f>LOOKUP(G29,86:86,87:87)-LOOKUP(C29,86:86,87:87)+100</f>
        <v>100</v>
      </c>
      <c r="I29" s="474">
        <v>0.62</v>
      </c>
      <c r="J29" s="435">
        <f>LOOKUP(I29,86:86,87:87)-LOOKUP(C29,86:86,87:87)+100</f>
        <v>100</v>
      </c>
      <c r="K29" s="612">
        <v>1</v>
      </c>
      <c r="L29" s="1136"/>
      <c r="M29" s="1127"/>
      <c r="N29" s="1127"/>
      <c r="O29" s="1127"/>
      <c r="P29" s="3341"/>
      <c r="Q29" s="1805" t="str">
        <f t="shared" si="11"/>
        <v>成新率</v>
      </c>
      <c r="R29" s="774" t="s">
        <v>17</v>
      </c>
      <c r="S29" s="775">
        <f t="shared" si="12"/>
        <v>100</v>
      </c>
      <c r="T29" s="774" t="s">
        <v>17</v>
      </c>
      <c r="U29" s="775">
        <f t="shared" si="13"/>
        <v>100</v>
      </c>
      <c r="V29" s="774" t="s">
        <v>17</v>
      </c>
      <c r="W29" s="775">
        <f t="shared" si="14"/>
        <v>100</v>
      </c>
      <c r="X29" s="1808"/>
      <c r="Y29" s="3341"/>
      <c r="Z29" s="1809" t="str">
        <f t="shared" si="15"/>
        <v>成新率</v>
      </c>
      <c r="AA29" s="1806">
        <f t="shared" si="3"/>
        <v>1</v>
      </c>
      <c r="AB29" s="1806">
        <f t="shared" si="4"/>
        <v>1</v>
      </c>
      <c r="AC29" s="1806">
        <f t="shared" si="5"/>
        <v>1</v>
      </c>
    </row>
    <row r="30" spans="1:29" ht="15">
      <c r="A30" s="656"/>
      <c r="B30" s="654" t="s">
        <v>2669</v>
      </c>
      <c r="C30" s="657" t="s">
        <v>3108</v>
      </c>
      <c r="D30" s="435">
        <v>100</v>
      </c>
      <c r="E30" s="657" t="s">
        <v>3108</v>
      </c>
      <c r="F30" s="461">
        <f>SUMIF(88:88,E30,89:89)-SUMIF(88:88,C30,89:89)+100</f>
        <v>100</v>
      </c>
      <c r="G30" s="657" t="s">
        <v>3108</v>
      </c>
      <c r="H30" s="435">
        <f>SUMIF(88:88,E30,89:89)-SUMIF(88:88,C30,89:89)+100</f>
        <v>100</v>
      </c>
      <c r="I30" s="657" t="s">
        <v>3108</v>
      </c>
      <c r="J30" s="435">
        <f>SUMIF(88:88,E30,89:89)-SUMIF(88:88,C30,89:89)+100</f>
        <v>100</v>
      </c>
      <c r="K30" s="612">
        <v>1</v>
      </c>
      <c r="L30" s="1136"/>
      <c r="M30" s="1127"/>
      <c r="N30" s="1127"/>
      <c r="O30" s="1127"/>
      <c r="P30" s="3341"/>
      <c r="Q30" s="1805" t="str">
        <f t="shared" si="11"/>
        <v>物业等级</v>
      </c>
      <c r="R30" s="774" t="s">
        <v>17</v>
      </c>
      <c r="S30" s="775">
        <f t="shared" si="12"/>
        <v>100</v>
      </c>
      <c r="T30" s="774" t="s">
        <v>17</v>
      </c>
      <c r="U30" s="775">
        <f t="shared" si="13"/>
        <v>100</v>
      </c>
      <c r="V30" s="774" t="s">
        <v>17</v>
      </c>
      <c r="W30" s="775">
        <f t="shared" si="14"/>
        <v>100</v>
      </c>
      <c r="X30" s="1808"/>
      <c r="Y30" s="3341"/>
      <c r="Z30" s="1809" t="str">
        <f t="shared" si="15"/>
        <v>物业等级</v>
      </c>
      <c r="AA30" s="1806">
        <f t="shared" si="3"/>
        <v>1</v>
      </c>
      <c r="AB30" s="1806">
        <f t="shared" si="4"/>
        <v>1</v>
      </c>
      <c r="AC30" s="1806">
        <f t="shared" si="5"/>
        <v>1</v>
      </c>
    </row>
    <row r="31" spans="1:29" s="117" customFormat="1" ht="15">
      <c r="A31" s="658"/>
      <c r="B31" s="654" t="s">
        <v>2670</v>
      </c>
      <c r="C31" s="3065">
        <f>'数据-汇总表'!G22/'数据-取费表'!AH9</f>
        <v>16.507999999999999</v>
      </c>
      <c r="D31" s="136">
        <v>100</v>
      </c>
      <c r="E31" s="469">
        <v>43</v>
      </c>
      <c r="F31" s="461">
        <f>LOOKUP(E31,91:91,92:92)-LOOKUP(C31,91:91,92:92)+100</f>
        <v>105</v>
      </c>
      <c r="G31" s="469">
        <v>65</v>
      </c>
      <c r="H31" s="435">
        <f>LOOKUP(G31,91:91,92:92)-LOOKUP(C31,91:91,92:92)+100</f>
        <v>105</v>
      </c>
      <c r="I31" s="469">
        <v>51</v>
      </c>
      <c r="J31" s="435">
        <f>LOOKUP(I31,91:91,92:92)-LOOKUP(C31,91:91,92:92)+100</f>
        <v>105</v>
      </c>
      <c r="K31" s="612">
        <v>1</v>
      </c>
      <c r="L31" s="1128"/>
      <c r="M31" s="1129"/>
      <c r="N31" s="1129"/>
      <c r="O31" s="1129"/>
      <c r="P31" s="3341"/>
      <c r="Q31" s="1790" t="str">
        <f t="shared" si="11"/>
        <v>停车位面积</v>
      </c>
      <c r="R31" s="770" t="s">
        <v>17</v>
      </c>
      <c r="S31" s="771">
        <f t="shared" si="12"/>
        <v>105</v>
      </c>
      <c r="T31" s="770" t="s">
        <v>17</v>
      </c>
      <c r="U31" s="771">
        <f t="shared" si="13"/>
        <v>105</v>
      </c>
      <c r="V31" s="770" t="s">
        <v>17</v>
      </c>
      <c r="W31" s="771">
        <f t="shared" si="14"/>
        <v>105</v>
      </c>
      <c r="X31" s="772"/>
      <c r="Y31" s="3341"/>
      <c r="Z31" s="55" t="str">
        <f t="shared" si="15"/>
        <v>停车位面积</v>
      </c>
      <c r="AA31" s="773">
        <f t="shared" si="3"/>
        <v>0.95238095238095233</v>
      </c>
      <c r="AB31" s="773">
        <f t="shared" si="4"/>
        <v>0.95238095238095233</v>
      </c>
      <c r="AC31" s="773">
        <f t="shared" si="5"/>
        <v>0.95238095238095233</v>
      </c>
    </row>
    <row r="32" spans="1:29" ht="15">
      <c r="A32" s="656"/>
      <c r="B32" s="654" t="s">
        <v>2671</v>
      </c>
      <c r="C32" s="460" t="s">
        <v>3112</v>
      </c>
      <c r="D32" s="435">
        <v>100</v>
      </c>
      <c r="E32" s="460" t="s">
        <v>3112</v>
      </c>
      <c r="F32" s="461">
        <f>SUMIF(93:93,E32,94:94)-SUMIF(93:93,C32,94:94)+100</f>
        <v>100</v>
      </c>
      <c r="G32" s="460" t="s">
        <v>3112</v>
      </c>
      <c r="H32" s="435">
        <f>SUMIF(93:93,G32,94:94)-SUMIF(93:93,C32,94:94)+100</f>
        <v>100</v>
      </c>
      <c r="I32" s="460" t="s">
        <v>3112</v>
      </c>
      <c r="J32" s="435">
        <f>SUMIF(93:93,I32,94:94)-SUMIF(93:93,C32,94:94)+100</f>
        <v>100</v>
      </c>
      <c r="K32" s="612">
        <v>1</v>
      </c>
      <c r="L32" s="1136"/>
      <c r="M32" s="1127"/>
      <c r="N32" s="1127"/>
      <c r="O32" s="1127"/>
      <c r="P32" s="3341" t="s">
        <v>2518</v>
      </c>
      <c r="Q32" s="1805" t="str">
        <f t="shared" si="11"/>
        <v>车位类型</v>
      </c>
      <c r="R32" s="774" t="s">
        <v>17</v>
      </c>
      <c r="S32" s="775">
        <f t="shared" si="12"/>
        <v>100</v>
      </c>
      <c r="T32" s="774" t="s">
        <v>17</v>
      </c>
      <c r="U32" s="775">
        <f t="shared" si="13"/>
        <v>100</v>
      </c>
      <c r="V32" s="774" t="s">
        <v>17</v>
      </c>
      <c r="W32" s="775">
        <f t="shared" si="14"/>
        <v>100</v>
      </c>
      <c r="X32" s="1808"/>
      <c r="Y32" s="3341" t="s">
        <v>2518</v>
      </c>
      <c r="Z32" s="1809" t="str">
        <f t="shared" si="15"/>
        <v>车位类型</v>
      </c>
      <c r="AA32" s="1806">
        <f t="shared" si="3"/>
        <v>1</v>
      </c>
      <c r="AB32" s="1806">
        <f t="shared" si="4"/>
        <v>1</v>
      </c>
      <c r="AC32" s="1806">
        <f t="shared" si="5"/>
        <v>1</v>
      </c>
    </row>
    <row r="33" spans="1:29" ht="15">
      <c r="A33" s="656"/>
      <c r="B33" s="654" t="s">
        <v>2672</v>
      </c>
      <c r="C33" s="460" t="s">
        <v>3110</v>
      </c>
      <c r="D33" s="435">
        <v>100</v>
      </c>
      <c r="E33" s="460" t="s">
        <v>3110</v>
      </c>
      <c r="F33" s="461">
        <f>SUMIF(95:95,E33,96:96)-SUMIF(95:95,C33,96:96)+100</f>
        <v>100</v>
      </c>
      <c r="G33" s="460" t="s">
        <v>3110</v>
      </c>
      <c r="H33" s="435">
        <f>SUMIF(95:95,G33,96:96)-SUMIF(95:95,C33,96:96)+100</f>
        <v>100</v>
      </c>
      <c r="I33" s="460" t="s">
        <v>3110</v>
      </c>
      <c r="J33" s="435">
        <f>SUMIF(95:95,I33,96:96)-SUMIF(95:95,C33,96:96)+100</f>
        <v>100</v>
      </c>
      <c r="K33" s="612">
        <v>1</v>
      </c>
      <c r="L33" s="1136"/>
      <c r="M33" s="1127"/>
      <c r="N33" s="1127"/>
      <c r="O33" s="1127"/>
      <c r="P33" s="3341"/>
      <c r="Q33" s="1805" t="str">
        <f t="shared" si="11"/>
        <v>是否直接入户</v>
      </c>
      <c r="R33" s="774" t="s">
        <v>17</v>
      </c>
      <c r="S33" s="775">
        <f t="shared" si="12"/>
        <v>100</v>
      </c>
      <c r="T33" s="774" t="s">
        <v>17</v>
      </c>
      <c r="U33" s="775">
        <f t="shared" si="13"/>
        <v>100</v>
      </c>
      <c r="V33" s="774" t="s">
        <v>17</v>
      </c>
      <c r="W33" s="775">
        <f t="shared" si="14"/>
        <v>100</v>
      </c>
      <c r="X33" s="1808"/>
      <c r="Y33" s="3341"/>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41"/>
      <c r="Q34" s="1805">
        <f t="shared" si="11"/>
        <v>0</v>
      </c>
      <c r="R34" s="774" t="s">
        <v>17</v>
      </c>
      <c r="S34" s="775">
        <f t="shared" si="12"/>
        <v>100</v>
      </c>
      <c r="T34" s="774" t="s">
        <v>17</v>
      </c>
      <c r="U34" s="775">
        <f t="shared" si="13"/>
        <v>100</v>
      </c>
      <c r="V34" s="774" t="s">
        <v>17</v>
      </c>
      <c r="W34" s="775">
        <f t="shared" si="14"/>
        <v>100</v>
      </c>
      <c r="X34" s="1808"/>
      <c r="Y34" s="3341"/>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41"/>
      <c r="Q35" s="776">
        <f t="shared" si="11"/>
        <v>0</v>
      </c>
      <c r="R35" s="777" t="s">
        <v>17</v>
      </c>
      <c r="S35" s="778">
        <f t="shared" si="12"/>
        <v>100</v>
      </c>
      <c r="T35" s="777" t="s">
        <v>17</v>
      </c>
      <c r="U35" s="778">
        <f t="shared" si="13"/>
        <v>100</v>
      </c>
      <c r="V35" s="777" t="s">
        <v>17</v>
      </c>
      <c r="W35" s="778">
        <f t="shared" si="14"/>
        <v>100</v>
      </c>
      <c r="X35" s="779"/>
      <c r="Y35" s="3341"/>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41"/>
      <c r="Q36" s="1805">
        <f t="shared" si="11"/>
        <v>0</v>
      </c>
      <c r="R36" s="774" t="s">
        <v>17</v>
      </c>
      <c r="S36" s="775">
        <f t="shared" si="12"/>
        <v>100</v>
      </c>
      <c r="T36" s="774" t="s">
        <v>17</v>
      </c>
      <c r="U36" s="775">
        <f t="shared" si="13"/>
        <v>100</v>
      </c>
      <c r="V36" s="774" t="s">
        <v>17</v>
      </c>
      <c r="W36" s="775">
        <f t="shared" si="14"/>
        <v>100</v>
      </c>
      <c r="X36" s="1808"/>
      <c r="Y36" s="3341"/>
      <c r="Z36" s="1809">
        <f t="shared" si="15"/>
        <v>0</v>
      </c>
      <c r="AA36" s="1806">
        <f t="shared" si="3"/>
        <v>1</v>
      </c>
      <c r="AB36" s="1806">
        <f t="shared" si="4"/>
        <v>1</v>
      </c>
      <c r="AC36" s="1806">
        <f t="shared" si="5"/>
        <v>1</v>
      </c>
    </row>
    <row r="37" spans="1:29" ht="15">
      <c r="A37" s="479" t="s">
        <v>2673</v>
      </c>
      <c r="B37" s="2691" t="s">
        <v>3101</v>
      </c>
      <c r="C37" s="1403" t="s">
        <v>1</v>
      </c>
      <c r="D37" s="1404"/>
      <c r="E37" s="1405">
        <v>306000</v>
      </c>
      <c r="F37" s="1406"/>
      <c r="G37" s="1407">
        <v>247000</v>
      </c>
      <c r="H37" s="1408"/>
      <c r="I37" s="1405">
        <v>309000</v>
      </c>
      <c r="J37" s="1408"/>
      <c r="K37" s="619"/>
      <c r="L37" s="1139"/>
      <c r="M37" s="1140"/>
      <c r="N37" s="1127"/>
      <c r="O37" s="1140"/>
      <c r="P37" s="3334" t="str">
        <f>A37</f>
        <v>成交单价</v>
      </c>
      <c r="Q37" s="3334"/>
      <c r="R37" s="3335">
        <f>E37</f>
        <v>306000</v>
      </c>
      <c r="S37" s="3335"/>
      <c r="T37" s="3335">
        <f>G37</f>
        <v>247000</v>
      </c>
      <c r="U37" s="3335"/>
      <c r="V37" s="3335">
        <f>I37</f>
        <v>309000</v>
      </c>
      <c r="W37" s="3335"/>
      <c r="X37" s="759"/>
      <c r="Y37" s="781"/>
      <c r="Z37" s="759"/>
      <c r="AA37" s="759"/>
      <c r="AB37" s="759"/>
      <c r="AC37" s="759"/>
    </row>
    <row r="38" spans="1:29" ht="15.75" thickBot="1">
      <c r="A38" s="486" t="s">
        <v>2674</v>
      </c>
      <c r="B38" s="487" t="str">
        <f>B37</f>
        <v>元/车位</v>
      </c>
      <c r="C38" s="1409">
        <f>R39</f>
        <v>272331</v>
      </c>
      <c r="D38" s="1410"/>
      <c r="E38" s="1411">
        <f>R38</f>
        <v>285714</v>
      </c>
      <c r="F38" s="1411"/>
      <c r="G38" s="1409">
        <f>T38</f>
        <v>242764</v>
      </c>
      <c r="H38" s="1410"/>
      <c r="I38" s="1411">
        <f>V38</f>
        <v>288515</v>
      </c>
      <c r="J38" s="1410"/>
      <c r="K38" s="620"/>
      <c r="L38" s="1139"/>
      <c r="M38" s="1140"/>
      <c r="N38" s="1140"/>
      <c r="O38" s="1140"/>
      <c r="P38" s="3334" t="str">
        <f>A38</f>
        <v>比较价值（元/平方米）</v>
      </c>
      <c r="Q38" s="3334"/>
      <c r="R38" s="3335">
        <f>IF(F1="售价",ROUND(PRODUCT(R37,AA7:AA36),0),ROUND(PRODUCT(R37,AA7:AA36),1))</f>
        <v>285714</v>
      </c>
      <c r="S38" s="3335"/>
      <c r="T38" s="3335">
        <f>IF(F1="售价",ROUND(PRODUCT(T37,AB7:AB36),0),ROUND(PRODUCT(T37,AB7:AB36),1))</f>
        <v>242764</v>
      </c>
      <c r="U38" s="3335"/>
      <c r="V38" s="3335">
        <f>IF(F1="售价",ROUND(PRODUCT(V37,AC7:AC36),0),ROUND(PRODUCT(V37,AC7:AC36),1))</f>
        <v>288515</v>
      </c>
      <c r="W38" s="3335"/>
      <c r="X38" s="759"/>
      <c r="Y38" s="759"/>
      <c r="Z38" s="759"/>
      <c r="AA38" s="759"/>
      <c r="AB38" s="759"/>
      <c r="AC38" s="759"/>
    </row>
    <row r="39" spans="1:29" ht="15.75" thickBot="1">
      <c r="A39" s="492" t="s">
        <v>2675</v>
      </c>
      <c r="B39" s="493"/>
      <c r="C39" s="1413">
        <f>R39</f>
        <v>272331</v>
      </c>
      <c r="D39" s="1413"/>
      <c r="E39" s="1413"/>
      <c r="F39" s="1413"/>
      <c r="G39" s="1413"/>
      <c r="H39" s="1413"/>
      <c r="I39" s="1413"/>
      <c r="J39" s="1413"/>
      <c r="K39" s="621"/>
      <c r="L39" s="1139"/>
      <c r="M39" s="1140"/>
      <c r="N39" s="1140"/>
      <c r="O39" s="1140"/>
      <c r="P39" s="3331" t="str">
        <f>A39</f>
        <v>估价对象XX用房的比较价值（楼面单价，元/平方米）</v>
      </c>
      <c r="Q39" s="3332"/>
      <c r="R39" s="3333">
        <f>IF(F1="售价",ROUND(AVERAGE(R38:V38),0),ROUND(AVERAGE(R38:V38),1))</f>
        <v>272331</v>
      </c>
      <c r="S39" s="3333"/>
      <c r="T39" s="3333"/>
      <c r="U39" s="3333"/>
      <c r="V39" s="3333"/>
      <c r="W39" s="3333"/>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f>IF(E37&lt;E38,E38/E37-1,E37/E38-1)</f>
        <v>7.1001071001070892E-2</v>
      </c>
      <c r="F42" s="500" t="str">
        <f>IF(OR(E42&gt;=0.3,E42&lt;=-0.3),"超过30%","")</f>
        <v/>
      </c>
      <c r="G42" s="499">
        <f>IF(G37&lt;G38,G38/G37-1,G37/G38-1)</f>
        <v>1.7449045163203669E-2</v>
      </c>
      <c r="H42" s="500" t="str">
        <f>IF(OR(G42&gt;=0.3,G42&lt;=-0.3),"超过30%","")</f>
        <v/>
      </c>
      <c r="I42" s="499">
        <f>IF(I37&lt;I38,I38/I37-1,I37/I38-1)</f>
        <v>7.1001507720569013E-2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f>IF(E38&lt;G38,G38/E38-1,E38/G38-1)</f>
        <v>0.17692079550509954</v>
      </c>
      <c r="F43" s="500" t="str">
        <f>IF(OR(E43&gt;=0.2,E43&lt;=-0.2),"超过20%","")</f>
        <v/>
      </c>
      <c r="G43" s="499">
        <f>IF(G38&lt;I38,I38/G38-1,G38/I38-1)</f>
        <v>0.18845875006178847</v>
      </c>
      <c r="H43" s="500" t="str">
        <f>IF(OR(G43&gt;=0.2,G43&lt;=-0.2),"超过20%","")</f>
        <v/>
      </c>
      <c r="I43" s="499">
        <f>IF(I38&lt;E38,E38/I38-1,I38/E38-1)</f>
        <v>9.8035098035098578E-3</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f>IF(E37&lt;G37,G37/E37-1,E37/G37-1)</f>
        <v>0.23886639676113353</v>
      </c>
      <c r="F44" s="500" t="str">
        <f>IF(OR(E44&gt;=0.3,E44&lt;=-0.3),"超过30%","")</f>
        <v/>
      </c>
      <c r="G44" s="499">
        <f>IF(G37&lt;I37,I37/G37-1,G37/I37-1)</f>
        <v>0.25101214574898778</v>
      </c>
      <c r="H44" s="500" t="str">
        <f>IF(OR(G44&gt;=0.3,G44&lt;=-0.3),"超过30%","")</f>
        <v/>
      </c>
      <c r="I44" s="499">
        <f>IF(I37&lt;E37,E37/I37-1,I37/E37-1)</f>
        <v>9.8039215686274161E-3</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2680</v>
      </c>
      <c r="B48" s="506"/>
      <c r="C48" s="1569" t="str">
        <f>YEAR(C7)&amp;"-"&amp;MONTH(C7)</f>
        <v>2019-11</v>
      </c>
      <c r="D48" s="1570">
        <f>EDATE(C48,-1)</f>
        <v>43739</v>
      </c>
      <c r="E48" s="1570">
        <f t="shared" ref="E48:Q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3066">
        <f t="shared" si="16"/>
        <v>43374</v>
      </c>
      <c r="Q48" s="3066">
        <f t="shared" si="16"/>
        <v>43344</v>
      </c>
      <c r="R48" s="3066">
        <f t="shared" ref="R48" si="17">EDATE(Q48,-1)</f>
        <v>43313</v>
      </c>
      <c r="S48" s="3066">
        <f t="shared" ref="S48" si="18">EDATE(R48,-1)</f>
        <v>43282</v>
      </c>
      <c r="T48" s="1434"/>
      <c r="U48" s="1434"/>
      <c r="V48" s="1434"/>
      <c r="W48" s="1434"/>
      <c r="X48" s="1434"/>
      <c r="Y48" s="1434"/>
      <c r="Z48" s="1434"/>
      <c r="AA48" s="1434"/>
      <c r="AB48" s="1434"/>
      <c r="AC48" s="1434"/>
    </row>
    <row r="49" spans="1:29" s="117" customFormat="1" ht="15">
      <c r="A49" s="509"/>
      <c r="B49" s="510"/>
      <c r="C49" s="1561">
        <v>100</v>
      </c>
      <c r="D49" s="512">
        <v>100</v>
      </c>
      <c r="E49" s="512">
        <v>100</v>
      </c>
      <c r="F49" s="512">
        <v>100</v>
      </c>
      <c r="G49" s="512">
        <v>100</v>
      </c>
      <c r="H49" s="512">
        <v>100</v>
      </c>
      <c r="I49" s="512">
        <v>100</v>
      </c>
      <c r="J49" s="512">
        <v>100</v>
      </c>
      <c r="K49" s="512">
        <v>100</v>
      </c>
      <c r="L49" s="512">
        <v>100</v>
      </c>
      <c r="M49" s="512">
        <v>100</v>
      </c>
      <c r="N49" s="512">
        <v>95</v>
      </c>
      <c r="O49" s="512">
        <v>95</v>
      </c>
      <c r="P49" s="512">
        <v>95</v>
      </c>
      <c r="Q49" s="512">
        <v>95</v>
      </c>
      <c r="R49" s="512">
        <v>95</v>
      </c>
      <c r="S49" s="512">
        <v>95</v>
      </c>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t="str">
        <f>C9</f>
        <v>地下车位</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99</v>
      </c>
      <c r="E66" s="544">
        <f>D66-$K16</f>
        <v>98</v>
      </c>
      <c r="F66" s="544">
        <f>E66-$K16</f>
        <v>97</v>
      </c>
      <c r="G66" s="544">
        <f>F66-$K16</f>
        <v>96</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60" t="s">
        <v>2628</v>
      </c>
      <c r="D67" s="660" t="s">
        <v>2629</v>
      </c>
      <c r="E67" s="660" t="s">
        <v>2630</v>
      </c>
      <c r="F67" s="660" t="s">
        <v>2631</v>
      </c>
      <c r="G67" s="660"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99</v>
      </c>
      <c r="E70" s="544">
        <f>D70-$K20</f>
        <v>98</v>
      </c>
      <c r="F70" s="544">
        <f>E70-$K20</f>
        <v>97</v>
      </c>
      <c r="G70" s="544">
        <f>F70-$K20</f>
        <v>96</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2681</v>
      </c>
      <c r="C71" s="2970" t="s">
        <v>3105</v>
      </c>
      <c r="D71" s="2970" t="s">
        <v>3362</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98</v>
      </c>
      <c r="E72" s="544">
        <f>D72-$K22</f>
        <v>96</v>
      </c>
      <c r="F72" s="544">
        <f>E72-$K22</f>
        <v>94</v>
      </c>
      <c r="G72" s="544">
        <f>F72-$K22</f>
        <v>92</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9">C80-$K26</f>
        <v>99</v>
      </c>
      <c r="E80" s="544">
        <f t="shared" si="19"/>
        <v>98</v>
      </c>
      <c r="F80" s="544">
        <f t="shared" si="19"/>
        <v>97</v>
      </c>
      <c r="G80" s="544">
        <f t="shared" si="19"/>
        <v>96</v>
      </c>
      <c r="H80" s="544">
        <f t="shared" si="19"/>
        <v>95</v>
      </c>
      <c r="I80" s="544">
        <f t="shared" si="19"/>
        <v>94</v>
      </c>
      <c r="J80" s="544">
        <f t="shared" si="19"/>
        <v>93</v>
      </c>
      <c r="K80" s="544">
        <f t="shared" si="19"/>
        <v>92</v>
      </c>
      <c r="L80" s="544">
        <f t="shared" si="19"/>
        <v>91</v>
      </c>
      <c r="M80" s="545">
        <f t="shared" si="19"/>
        <v>90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2683</v>
      </c>
      <c r="C81" s="661" t="s">
        <v>3049</v>
      </c>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v>100</v>
      </c>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2970" t="s">
        <v>3107</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20">C84-$K28</f>
        <v>99</v>
      </c>
      <c r="E84" s="544">
        <f t="shared" si="20"/>
        <v>98</v>
      </c>
      <c r="F84" s="544">
        <f t="shared" si="20"/>
        <v>97</v>
      </c>
      <c r="G84" s="544">
        <f t="shared" si="20"/>
        <v>96</v>
      </c>
      <c r="H84" s="544">
        <f t="shared" si="20"/>
        <v>95</v>
      </c>
      <c r="I84" s="544">
        <f t="shared" si="20"/>
        <v>94</v>
      </c>
      <c r="J84" s="544">
        <f t="shared" si="20"/>
        <v>93</v>
      </c>
      <c r="K84" s="544">
        <f t="shared" si="20"/>
        <v>92</v>
      </c>
      <c r="L84" s="544">
        <f t="shared" si="20"/>
        <v>91</v>
      </c>
      <c r="M84" s="545">
        <f t="shared" si="20"/>
        <v>90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101</v>
      </c>
      <c r="E87" s="544">
        <f t="shared" ref="E87:M87" si="21">D87+$K$29</f>
        <v>102</v>
      </c>
      <c r="F87" s="544">
        <f t="shared" si="21"/>
        <v>103</v>
      </c>
      <c r="G87" s="544">
        <f t="shared" si="21"/>
        <v>104</v>
      </c>
      <c r="H87" s="544">
        <f t="shared" si="21"/>
        <v>105</v>
      </c>
      <c r="I87" s="544">
        <f t="shared" si="21"/>
        <v>106</v>
      </c>
      <c r="J87" s="544">
        <f t="shared" si="21"/>
        <v>107</v>
      </c>
      <c r="K87" s="544">
        <f t="shared" si="21"/>
        <v>108</v>
      </c>
      <c r="L87" s="544">
        <f t="shared" si="21"/>
        <v>109</v>
      </c>
      <c r="M87" s="544">
        <f t="shared" si="21"/>
        <v>110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2969" t="s">
        <v>3109</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2">C89+$K30</f>
        <v>101</v>
      </c>
      <c r="E89" s="544">
        <f t="shared" si="22"/>
        <v>102</v>
      </c>
      <c r="F89" s="544">
        <f t="shared" si="22"/>
        <v>103</v>
      </c>
      <c r="G89" s="544">
        <f t="shared" si="22"/>
        <v>104</v>
      </c>
      <c r="H89" s="544">
        <f t="shared" si="22"/>
        <v>105</v>
      </c>
      <c r="I89" s="544">
        <f t="shared" si="22"/>
        <v>106</v>
      </c>
      <c r="J89" s="544">
        <f t="shared" si="22"/>
        <v>107</v>
      </c>
      <c r="K89" s="544">
        <f t="shared" si="22"/>
        <v>108</v>
      </c>
      <c r="L89" s="544">
        <f t="shared" si="22"/>
        <v>109</v>
      </c>
      <c r="M89" s="544">
        <f t="shared" si="22"/>
        <v>110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0(含)-40</v>
      </c>
      <c r="D90" s="578" t="str">
        <f t="shared" ref="D90:L90" si="23">D91&amp;"(含)"&amp;"-"&amp;E91</f>
        <v>40(含)-80</v>
      </c>
      <c r="E90" s="578" t="str">
        <f t="shared" si="23"/>
        <v>80(含)-</v>
      </c>
      <c r="F90" s="578" t="str">
        <f t="shared" si="23"/>
        <v>(含)-</v>
      </c>
      <c r="G90" s="578" t="str">
        <f t="shared" si="23"/>
        <v>(含)-</v>
      </c>
      <c r="H90" s="578" t="str">
        <f t="shared" si="23"/>
        <v>(含)-</v>
      </c>
      <c r="I90" s="578" t="str">
        <f t="shared" si="23"/>
        <v>(含)-</v>
      </c>
      <c r="J90" s="578" t="str">
        <f t="shared" si="23"/>
        <v>(含)-</v>
      </c>
      <c r="K90" s="578" t="str">
        <f t="shared" si="23"/>
        <v>(含)-</v>
      </c>
      <c r="L90" s="578" t="str">
        <f t="shared" si="23"/>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105</v>
      </c>
      <c r="E92" s="536">
        <v>110</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2970" t="s">
        <v>3113</v>
      </c>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2969" t="s">
        <v>3111</v>
      </c>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99</v>
      </c>
      <c r="E96" s="544">
        <f>D96-$K33</f>
        <v>98</v>
      </c>
      <c r="F96" s="544">
        <f>E96-$K33</f>
        <v>97</v>
      </c>
      <c r="G96" s="544">
        <f>F96-$K33</f>
        <v>96</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65" zoomScale="90" zoomScaleNormal="90" zoomScaleSheetLayoutView="90" workbookViewId="0">
      <selection activeCell="E45" sqref="E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3016</v>
      </c>
      <c r="D1" s="1815" t="s">
        <v>70</v>
      </c>
      <c r="E1" s="1816" t="s">
        <v>1378</v>
      </c>
      <c r="F1" s="1279">
        <f ca="1">J53</f>
        <v>24.77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124</v>
      </c>
      <c r="C2" s="1840" t="s">
        <v>1507</v>
      </c>
      <c r="D2" s="1840"/>
      <c r="E2" s="1841"/>
      <c r="F2" s="1842"/>
      <c r="G2" s="1843"/>
      <c r="H2" s="1835"/>
      <c r="I2" s="1835"/>
      <c r="J2" s="1835"/>
      <c r="K2" s="1836"/>
      <c r="L2" s="1835"/>
      <c r="M2" s="1835"/>
    </row>
    <row r="3" spans="1:37" ht="18" customHeight="1" thickBot="1">
      <c r="A3" s="1844" t="s">
        <v>1508</v>
      </c>
      <c r="B3" s="1845">
        <f ca="1">IF(ISERROR(B2*10000/F43),0,ROUND(B2*10000/F43,0))</f>
        <v>7512</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11</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11</v>
      </c>
      <c r="D6" s="164" t="s">
        <v>2981</v>
      </c>
      <c r="E6" s="347" t="s">
        <v>1396</v>
      </c>
      <c r="F6" s="348">
        <f ca="1">INDIRECT("'数据-取费表'!u"&amp;$G$1)</f>
        <v>1000</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10</v>
      </c>
      <c r="G7" s="1846"/>
      <c r="H7" s="349"/>
      <c r="I7" s="3274"/>
      <c r="J7" s="351"/>
      <c r="K7" s="352"/>
      <c r="L7" s="347" t="s">
        <v>1397</v>
      </c>
      <c r="M7" s="348">
        <f ca="1">F7</f>
        <v>10</v>
      </c>
    </row>
    <row r="8" spans="1:37" ht="18" customHeight="1">
      <c r="A8" s="349"/>
      <c r="B8" s="3274"/>
      <c r="C8" s="351"/>
      <c r="D8" s="352"/>
      <c r="E8" s="347" t="s">
        <v>1398</v>
      </c>
      <c r="F8" s="348">
        <f ca="1">INDIRECT("'数据-取费表'!ai"&amp;$G$1)</f>
        <v>12</v>
      </c>
      <c r="G8" s="1846"/>
      <c r="H8" s="349"/>
      <c r="I8" s="3274"/>
      <c r="J8" s="351"/>
      <c r="K8" s="352"/>
      <c r="L8" s="347" t="s">
        <v>1398</v>
      </c>
      <c r="M8" s="348">
        <f ca="1">INDIRECT("'数据-取费表'!ai"&amp;$G$1)</f>
        <v>12</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2990</v>
      </c>
      <c r="E10" s="358" t="s">
        <v>1401</v>
      </c>
      <c r="F10" s="1362" t="s">
        <v>3078</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43</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50</v>
      </c>
      <c r="D14" s="2955" t="s">
        <v>1409</v>
      </c>
      <c r="E14" s="2950"/>
      <c r="F14" s="364"/>
      <c r="G14" s="1846"/>
      <c r="H14" s="1197" t="s">
        <v>1031</v>
      </c>
      <c r="I14" s="347" t="s">
        <v>1410</v>
      </c>
      <c r="J14" s="24">
        <f ca="1">C29</f>
        <v>69</v>
      </c>
      <c r="K14" s="2966"/>
      <c r="L14" s="975"/>
      <c r="M14" s="976"/>
    </row>
    <row r="15" spans="1:37" s="1853" customFormat="1" ht="18" customHeight="1" thickBot="1">
      <c r="A15" s="1197" t="s">
        <v>1032</v>
      </c>
      <c r="B15" s="347" t="s">
        <v>1411</v>
      </c>
      <c r="C15" s="24">
        <f ca="1">ROUND(C14*F15,0)</f>
        <v>3</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v>
      </c>
      <c r="K16" s="1333" t="s">
        <v>1416</v>
      </c>
      <c r="L16" s="2957"/>
      <c r="M16" s="1290"/>
    </row>
    <row r="17" spans="1:37" s="1853" customFormat="1" ht="18" customHeight="1">
      <c r="A17" s="1197" t="s">
        <v>1381</v>
      </c>
      <c r="B17" s="347" t="s">
        <v>1417</v>
      </c>
      <c r="C17" s="24">
        <f ca="1">ROUND(F17*(F43+INDIRECT("'数据-取费表'!S"&amp;$G$1))/10000,0)</f>
        <v>3</v>
      </c>
      <c r="D17" s="347" t="s">
        <v>1418</v>
      </c>
      <c r="E17" s="347" t="s">
        <v>1419</v>
      </c>
      <c r="F17" s="26">
        <f>'数据-取费表'!B35</f>
        <v>200</v>
      </c>
      <c r="G17" s="1849"/>
      <c r="H17" s="1197" t="s">
        <v>1031</v>
      </c>
      <c r="I17" s="347" t="s">
        <v>1420</v>
      </c>
      <c r="J17" s="24">
        <f ca="1">ROUND(IF(项目基本情况!B11="自然人",J6*M17/(1+'数据-取费表'!C42),J18+J19+J20),1)</f>
        <v>0.6</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57</v>
      </c>
      <c r="D19" s="140" t="s">
        <v>1427</v>
      </c>
      <c r="E19" s="2964"/>
      <c r="F19" s="26"/>
      <c r="G19" s="1846"/>
      <c r="H19" s="1197" t="s">
        <v>1032</v>
      </c>
      <c r="I19" s="347" t="s">
        <v>1428</v>
      </c>
      <c r="J19" s="24">
        <f ca="1">IF(K19="按租金收入计税",ROUND(J6*M19/(1+'数据-取费表'!C42),2),ROUND(C29*M19*0.7,2))</f>
        <v>0.57999999999999996</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v>
      </c>
      <c r="D20" s="369" t="s">
        <v>1431</v>
      </c>
      <c r="E20" s="347" t="s">
        <v>1413</v>
      </c>
      <c r="F20" s="367">
        <f>'数据-取费表'!B37</f>
        <v>0.02</v>
      </c>
      <c r="G20" s="1849"/>
      <c r="H20" s="1197" t="s">
        <v>1380</v>
      </c>
      <c r="I20" s="164" t="s">
        <v>1432</v>
      </c>
      <c r="J20" s="25">
        <f ca="1">ROUND(M20*M21/10000,2)</f>
        <v>0.03</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16.899999999999999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v>
      </c>
      <c r="K25" s="1341" t="s">
        <v>1455</v>
      </c>
      <c r="L25" s="1342"/>
      <c r="M25" s="1343"/>
    </row>
    <row r="26" spans="1:37">
      <c r="A26" s="1197" t="s">
        <v>1030</v>
      </c>
      <c r="B26" s="347" t="s">
        <v>1456</v>
      </c>
      <c r="C26" s="24">
        <f ca="1">ROUND((C19+C20)*F26,0)</f>
        <v>3</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69</v>
      </c>
      <c r="D29" s="1338"/>
      <c r="E29" s="1336"/>
      <c r="F29" s="1339"/>
      <c r="G29" s="1849"/>
      <c r="H29" s="380" t="s">
        <v>1029</v>
      </c>
      <c r="I29" s="381" t="s">
        <v>1470</v>
      </c>
      <c r="J29" s="382">
        <f ca="1">ROUND(J26/(1+F40)^F41,0)</f>
        <v>0</v>
      </c>
      <c r="K29" s="383" t="s">
        <v>1471</v>
      </c>
      <c r="L29" s="384"/>
      <c r="M29" s="385">
        <f ca="1">INDIRECT("'数据-取费表'!k"&amp;$G$1)</f>
        <v>165.07999999999998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1.9</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0.59</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1.26</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0.03</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16.899999999999999</v>
      </c>
      <c r="G35" s="1846"/>
      <c r="H35" s="745"/>
      <c r="I35" s="1855"/>
      <c r="J35" s="1856"/>
      <c r="K35" s="1857"/>
      <c r="L35" s="1854"/>
      <c r="M35" s="1854"/>
    </row>
    <row r="36" spans="1:18" ht="18" customHeight="1">
      <c r="A36" s="1348" t="s">
        <v>1035</v>
      </c>
      <c r="B36" s="347" t="s">
        <v>1440</v>
      </c>
      <c r="C36" s="24">
        <f ca="1">ROUND(C29*F36,1)</f>
        <v>1</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0.1</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8</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124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0.01</v>
      </c>
      <c r="G42" s="1846"/>
      <c r="H42" s="732"/>
      <c r="I42" s="1855"/>
      <c r="J42" s="1856"/>
      <c r="K42" s="751"/>
      <c r="L42" s="732"/>
      <c r="M42" s="732"/>
    </row>
    <row r="43" spans="1:18" ht="18" customHeight="1" thickBot="1">
      <c r="A43" s="380" t="s">
        <v>1029</v>
      </c>
      <c r="B43" s="381" t="s">
        <v>1478</v>
      </c>
      <c r="C43" s="382">
        <f ca="1">ROUND(C40*10000/F43,0)</f>
        <v>7512</v>
      </c>
      <c r="D43" s="383" t="s">
        <v>1479</v>
      </c>
      <c r="E43" s="384" t="s">
        <v>1480</v>
      </c>
      <c r="F43" s="385">
        <f ca="1">INDIRECT("'数据-取费表'!k"&amp;$G$1)</f>
        <v>165.07999999999998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-222</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124</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69</v>
      </c>
      <c r="R49" s="1881" t="s">
        <v>1520</v>
      </c>
    </row>
    <row r="50" spans="1:18" s="1837" customFormat="1" ht="13.5" thickBot="1">
      <c r="A50" s="1191"/>
      <c r="B50" s="1194"/>
      <c r="C50" s="1364"/>
      <c r="D50" s="1168"/>
      <c r="E50" s="1273" t="s">
        <v>1397</v>
      </c>
      <c r="F50" s="1274">
        <f ca="1">F7</f>
        <v>10</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12</v>
      </c>
      <c r="I51" s="1893" t="s">
        <v>1531</v>
      </c>
      <c r="J51" s="1894">
        <f>IF(J49="",J50,J49+J50-YEAR('数据-取费表'!B2))</f>
        <v>37</v>
      </c>
      <c r="K51" s="1895" t="s">
        <v>1532</v>
      </c>
      <c r="L51" s="1896">
        <f ca="1">ROUND(-PV(INDIRECT("'数据-取费表'!h"&amp;$G$1),L48,(C39-C13*C76),0),0)</f>
        <v>64</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124</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43</v>
      </c>
      <c r="D56" s="1908"/>
      <c r="E56" s="1909"/>
      <c r="F56" s="1901"/>
      <c r="I56" s="1910" t="s">
        <v>1545</v>
      </c>
      <c r="J56" s="1911" t="s">
        <v>3034</v>
      </c>
      <c r="K56" s="1882" t="s">
        <v>1546</v>
      </c>
      <c r="L56" s="1885" t="str">
        <f ca="1">IF(L48&lt;J51,"——",L48-J53)</f>
        <v>——</v>
      </c>
      <c r="O56" s="1879" t="s">
        <v>1036</v>
      </c>
      <c r="P56" s="1880" t="s">
        <v>1519</v>
      </c>
      <c r="Q56" s="1881">
        <f ca="1">C40+J29</f>
        <v>124</v>
      </c>
      <c r="R56" s="1881" t="s">
        <v>1520</v>
      </c>
    </row>
    <row r="57" spans="1:18" s="1837" customFormat="1" ht="24.75" thickBot="1">
      <c r="A57" s="1912"/>
      <c r="B57" s="1165" t="s">
        <v>1469</v>
      </c>
      <c r="C57" s="282">
        <f ca="1">C29</f>
        <v>69</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7</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5.8</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5.8</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0.03</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124</v>
      </c>
      <c r="R62" s="1881" t="s">
        <v>1043</v>
      </c>
    </row>
    <row r="63" spans="1:18" s="1837" customFormat="1" ht="13.5" thickBot="1">
      <c r="A63" s="372"/>
      <c r="B63" s="1171"/>
      <c r="C63" s="29"/>
      <c r="D63" s="1181"/>
      <c r="E63" s="1165" t="s">
        <v>1438</v>
      </c>
      <c r="F63" s="348">
        <f t="shared" ca="1" si="0"/>
        <v>16.899999999999999</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0.1</v>
      </c>
      <c r="D65" s="1179" t="s">
        <v>1445</v>
      </c>
      <c r="E65" s="1165" t="s">
        <v>1413</v>
      </c>
      <c r="F65" s="376">
        <f t="shared" ca="1" si="0"/>
        <v>1.5E-3</v>
      </c>
      <c r="I65" s="1923" t="s">
        <v>1570</v>
      </c>
      <c r="J65" s="1924">
        <v>40</v>
      </c>
      <c r="K65" s="1924">
        <v>30</v>
      </c>
      <c r="L65" s="1924">
        <v>50</v>
      </c>
      <c r="M65" s="1926">
        <v>0.02</v>
      </c>
      <c r="O65" s="1879" t="s">
        <v>1036</v>
      </c>
      <c r="P65" s="1880" t="s">
        <v>1519</v>
      </c>
      <c r="Q65" s="1881">
        <f ca="1">C40+J29</f>
        <v>124</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-7</v>
      </c>
      <c r="D67" s="1178" t="s">
        <v>1455</v>
      </c>
      <c r="E67" s="1183"/>
      <c r="F67" s="1184"/>
      <c r="O67" s="1889" t="s">
        <v>1038</v>
      </c>
      <c r="P67" s="1880" t="s">
        <v>1553</v>
      </c>
      <c r="Q67" s="1927">
        <f ca="1">L51</f>
        <v>64</v>
      </c>
      <c r="R67" s="1881" t="s">
        <v>1573</v>
      </c>
    </row>
    <row r="68" spans="1:18" s="1837" customFormat="1" ht="16.5" thickBot="1">
      <c r="A68" s="1162" t="s">
        <v>1028</v>
      </c>
      <c r="B68" s="1163" t="s">
        <v>1476</v>
      </c>
      <c r="C68" s="346">
        <f ca="1">ROUND(C67*(1-((1+F70)/(1+F68))^F69)/(F68-F70),0)</f>
        <v>-98</v>
      </c>
      <c r="D68" s="1180" t="s">
        <v>1460</v>
      </c>
      <c r="E68" s="1165" t="s">
        <v>1461</v>
      </c>
      <c r="F68" s="357">
        <f ca="1">F40</f>
        <v>0.05</v>
      </c>
      <c r="O68" s="1889" t="s">
        <v>1039</v>
      </c>
      <c r="P68" s="1928" t="s">
        <v>1574</v>
      </c>
      <c r="Q68" s="1881">
        <f ca="1">ROUND(Q69-Q70*Q71,0)</f>
        <v>4</v>
      </c>
      <c r="R68" s="1881" t="s">
        <v>1047</v>
      </c>
    </row>
    <row r="69" spans="1:18" s="1837" customFormat="1" ht="13.5" thickBot="1">
      <c r="A69" s="1166"/>
      <c r="B69" s="1167"/>
      <c r="C69" s="351"/>
      <c r="D69" s="1185" t="s">
        <v>1464</v>
      </c>
      <c r="E69" s="1165" t="s">
        <v>1465</v>
      </c>
      <c r="F69" s="379">
        <f ca="1">F41</f>
        <v>24.77</v>
      </c>
      <c r="O69" s="1889" t="s">
        <v>1044</v>
      </c>
      <c r="P69" s="1928" t="s">
        <v>1575</v>
      </c>
      <c r="Q69" s="1881">
        <f ca="1">C39</f>
        <v>8</v>
      </c>
      <c r="R69" s="1881" t="s">
        <v>1520</v>
      </c>
    </row>
    <row r="70" spans="1:18" s="1837" customFormat="1" ht="13.5" thickBot="1">
      <c r="A70" s="1169"/>
      <c r="B70" s="1170"/>
      <c r="C70" s="355"/>
      <c r="D70" s="1181"/>
      <c r="E70" s="1165" t="s">
        <v>1468</v>
      </c>
      <c r="F70" s="1271"/>
      <c r="O70" s="1889" t="s">
        <v>1045</v>
      </c>
      <c r="P70" s="1928" t="s">
        <v>1576</v>
      </c>
      <c r="Q70" s="1881">
        <f ca="1">C13</f>
        <v>43</v>
      </c>
      <c r="R70" s="1881" t="s">
        <v>1520</v>
      </c>
    </row>
    <row r="71" spans="1:18" s="1837" customFormat="1" ht="13.5" thickBot="1">
      <c r="A71" s="1186" t="s">
        <v>1029</v>
      </c>
      <c r="B71" s="1187" t="s">
        <v>1478</v>
      </c>
      <c r="C71" s="382">
        <f ca="1">ROUND(C68*10000/F71,0)</f>
        <v>-5937</v>
      </c>
      <c r="D71" s="1188" t="s">
        <v>1479</v>
      </c>
      <c r="E71" s="1189" t="s">
        <v>1480</v>
      </c>
      <c r="F71" s="385">
        <f ca="1">F43</f>
        <v>165.07999999999998</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4</v>
      </c>
      <c r="D75" s="1837"/>
      <c r="E75" s="1837"/>
      <c r="F75" s="1837"/>
      <c r="K75" s="1863"/>
      <c r="L75" s="1837"/>
      <c r="O75" s="1879" t="s">
        <v>1042</v>
      </c>
      <c r="P75" s="1880" t="s">
        <v>1540</v>
      </c>
      <c r="Q75" s="1881">
        <f ca="1">Q65+Q66</f>
        <v>124</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0.5</v>
      </c>
    </row>
    <row r="80" spans="1:18">
      <c r="B80" s="386" t="s">
        <v>1502</v>
      </c>
      <c r="C80" s="318">
        <f ca="1">ROUND(C75/C39,3)</f>
        <v>0.5</v>
      </c>
    </row>
    <row r="81" spans="2:3">
      <c r="B81" s="314" t="s">
        <v>1503</v>
      </c>
      <c r="C81" s="282"/>
    </row>
    <row r="82" spans="2:3">
      <c r="B82" s="317" t="s">
        <v>1504</v>
      </c>
      <c r="C82" s="319">
        <f ca="1">1-C83</f>
        <v>0.65300000000000002</v>
      </c>
    </row>
    <row r="83" spans="2:3">
      <c r="B83" s="317" t="s">
        <v>1505</v>
      </c>
      <c r="C83" s="318">
        <f ca="1">ROUND(C13/C40,3)</f>
        <v>0.34699999999999998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35203</v>
      </c>
      <c r="C2" s="2" t="s">
        <v>133</v>
      </c>
      <c r="D2" s="243"/>
      <c r="E2" s="243"/>
      <c r="F2" s="243"/>
      <c r="G2" s="243"/>
    </row>
    <row r="3" spans="1:7" s="244" customFormat="1" ht="18" customHeight="1" thickBot="1">
      <c r="A3" s="247" t="s">
        <v>85</v>
      </c>
      <c r="B3" s="248">
        <f ca="1">ROUND(B2*10000/'数据-汇总表'!E3,0)</f>
        <v>16541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190</v>
      </c>
      <c r="F9" s="265"/>
      <c r="G9" s="270"/>
    </row>
    <row r="10" spans="1:7" s="258" customFormat="1" ht="13.5" customHeight="1">
      <c r="A10" s="946" t="s">
        <v>800</v>
      </c>
      <c r="B10" s="268" t="s">
        <v>94</v>
      </c>
      <c r="C10" s="269">
        <f>ROUND(D10*E10/10000,0)</f>
        <v>426</v>
      </c>
      <c r="D10" s="1028">
        <f>'数据-汇总表'!E6</f>
        <v>21282.42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426</v>
      </c>
      <c r="D19" s="1032">
        <f>'数据-汇总表'!E3</f>
        <v>21282.42</v>
      </c>
      <c r="E19" s="255">
        <f>'数据-取费表'!B31</f>
        <v>200</v>
      </c>
      <c r="F19" s="275"/>
      <c r="G19" s="1" t="s">
        <v>1070</v>
      </c>
    </row>
    <row r="20" spans="1:7" s="258" customFormat="1" ht="13.5" customHeight="1">
      <c r="A20" s="944" t="s">
        <v>1053</v>
      </c>
      <c r="B20" s="254" t="s">
        <v>104</v>
      </c>
      <c r="C20" s="276">
        <f>ROUND((C5+C19)*F20,0)</f>
        <v>421</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2065</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3433</v>
      </c>
      <c r="D27" s="279">
        <f>C29</f>
        <v>3.2000000000000002E-3</v>
      </c>
      <c r="E27" s="280" t="s">
        <v>126</v>
      </c>
      <c r="F27" s="290">
        <f>'数据-取费表'!Q16</f>
        <v>0.16</v>
      </c>
      <c r="G27" s="291" t="s">
        <v>1065</v>
      </c>
    </row>
    <row r="28" spans="1:7" s="258" customFormat="1" ht="13.5" customHeight="1">
      <c r="A28" s="947" t="s">
        <v>793</v>
      </c>
      <c r="B28" s="292" t="s">
        <v>1058</v>
      </c>
      <c r="C28" s="293">
        <f>ROUND((C5+C19+C20)*F27*'数据-取费表'!B21/'数据-取费表'!B20,0)</f>
        <v>3433</v>
      </c>
      <c r="D28" s="279"/>
      <c r="E28" s="280"/>
      <c r="F28" s="290"/>
      <c r="G28" s="291"/>
    </row>
    <row r="29" spans="1:7" s="258" customFormat="1" ht="13.5" customHeight="1">
      <c r="A29" s="947" t="s">
        <v>791</v>
      </c>
      <c r="B29" s="292" t="s">
        <v>1059</v>
      </c>
      <c r="C29" s="282">
        <f>ROUND(C21*F27*'数据-取费表'!B21/'数据-取费表'!B20,4)</f>
        <v>3.2000000000000002E-3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7226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6385</v>
      </c>
      <c r="D34" s="261"/>
      <c r="E34" s="264"/>
      <c r="F34" s="301">
        <f>IF('数据-取费表'!B24=0,1,'数据-取费表'!N16)</f>
        <v>1</v>
      </c>
      <c r="G34" s="263" t="s">
        <v>116</v>
      </c>
    </row>
    <row r="35" spans="1:7" ht="13.5" customHeight="1">
      <c r="A35" s="947" t="s">
        <v>795</v>
      </c>
      <c r="B35" s="259" t="s">
        <v>60</v>
      </c>
      <c r="C35" s="264">
        <f>ROUND(C34*F35,0)</f>
        <v>319</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426</v>
      </c>
      <c r="D37" s="261">
        <f>'数据-汇总表'!E3</f>
        <v>21282.42</v>
      </c>
      <c r="E37" s="293">
        <f>'数据-取费表'!B35</f>
        <v>200</v>
      </c>
      <c r="F37" s="303"/>
      <c r="G37" s="305" t="s">
        <v>119</v>
      </c>
    </row>
    <row r="38" spans="1:7" ht="13.5" customHeight="1">
      <c r="A38" s="947" t="s">
        <v>798</v>
      </c>
      <c r="B38" s="259" t="s">
        <v>63</v>
      </c>
      <c r="C38" s="264">
        <f>ROUND(C34*F38,0)</f>
        <v>96</v>
      </c>
      <c r="D38" s="264"/>
      <c r="E38" s="264"/>
      <c r="F38" s="303">
        <f>'数据-取费表'!B36</f>
        <v>1.4999999999999999E-2</v>
      </c>
      <c r="G38" s="263" t="s">
        <v>117</v>
      </c>
    </row>
    <row r="39" spans="1:7" s="258" customFormat="1" ht="13.5" customHeight="1">
      <c r="A39" s="944" t="s">
        <v>782</v>
      </c>
      <c r="B39" s="254" t="s">
        <v>104</v>
      </c>
      <c r="C39" s="276">
        <f>ROUND(C33*F20,0)</f>
        <v>145</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350</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343</v>
      </c>
      <c r="D42" s="282"/>
      <c r="E42" s="282"/>
      <c r="F42" s="283"/>
      <c r="G42" s="3270" t="s">
        <v>121</v>
      </c>
    </row>
    <row r="43" spans="1:7" ht="13.5" customHeight="1">
      <c r="A43" s="947" t="s">
        <v>791</v>
      </c>
      <c r="B43" s="259" t="s">
        <v>1060</v>
      </c>
      <c r="C43" s="282">
        <f ca="1">ROUND(IF('数据-取费表'!B22&lt;=1,C39*F22*'数据-取费表'!B21/2,C39*(POWER((1+F22),'数据-取费表'!B21/2)-1)),0)</f>
        <v>7</v>
      </c>
      <c r="D43" s="282"/>
      <c r="E43" s="282"/>
      <c r="F43" s="283"/>
      <c r="G43" s="3271"/>
    </row>
    <row r="44" spans="1:7" ht="13.5" customHeight="1">
      <c r="A44" s="947" t="s">
        <v>792</v>
      </c>
      <c r="B44" s="259" t="s">
        <v>1062</v>
      </c>
      <c r="C44" s="282">
        <f ca="1">ROUND(IF('数据-取费表'!B22&lt;=1,C40*F22*'数据-取费表'!B21/2,C40*(POWER((1+F22),'数据-取费表'!B21/2)-1)),4)</f>
        <v>1E-3</v>
      </c>
      <c r="D44" s="282"/>
      <c r="E44" s="282"/>
      <c r="F44" s="283"/>
      <c r="G44" s="3272"/>
    </row>
    <row r="45" spans="1:7" s="258" customFormat="1" ht="13.5" customHeight="1">
      <c r="A45" s="944" t="s">
        <v>785</v>
      </c>
      <c r="B45" s="288" t="s">
        <v>112</v>
      </c>
      <c r="C45" s="289">
        <f>C46</f>
        <v>1179</v>
      </c>
      <c r="D45" s="279">
        <f>C47</f>
        <v>3.2000000000000002E-3</v>
      </c>
      <c r="E45" s="280" t="s">
        <v>129</v>
      </c>
      <c r="F45" s="290"/>
      <c r="G45" s="291" t="s">
        <v>1068</v>
      </c>
    </row>
    <row r="46" spans="1:7" s="258" customFormat="1" ht="13.5" customHeight="1">
      <c r="A46" s="947" t="s">
        <v>793</v>
      </c>
      <c r="B46" s="292" t="s">
        <v>1061</v>
      </c>
      <c r="C46" s="293">
        <f>ROUND((C33+C39)*F27,0)</f>
        <v>1179</v>
      </c>
      <c r="D46" s="307"/>
      <c r="E46" s="280"/>
      <c r="F46" s="290"/>
      <c r="G46" s="291"/>
    </row>
    <row r="47" spans="1:7" s="258" customFormat="1" ht="13.5" customHeight="1">
      <c r="A47" s="947" t="s">
        <v>791</v>
      </c>
      <c r="B47" s="292" t="s">
        <v>1063</v>
      </c>
      <c r="C47" s="282">
        <f>ROUND(C40*F27,4)</f>
        <v>3.2000000000000002E-3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9648</v>
      </c>
      <c r="D49" s="276"/>
      <c r="E49" s="276"/>
      <c r="F49" s="308"/>
      <c r="G49" s="278" t="s">
        <v>1069</v>
      </c>
    </row>
    <row r="50" spans="1:7" s="302" customFormat="1" ht="24">
      <c r="A50" s="944" t="s">
        <v>788</v>
      </c>
      <c r="B50" s="254" t="s">
        <v>124</v>
      </c>
      <c r="C50" s="276"/>
      <c r="D50" s="276"/>
      <c r="E50" s="276"/>
      <c r="F50" s="308">
        <f>IF('数据-取费表'!B24=0,'数据-取费表'!N16,1)</f>
        <v>0.62</v>
      </c>
      <c r="G50" s="291" t="s">
        <v>125</v>
      </c>
    </row>
    <row r="51" spans="1:7" ht="16.5" customHeight="1">
      <c r="A51" s="944" t="s">
        <v>789</v>
      </c>
      <c r="B51" s="254" t="s">
        <v>132</v>
      </c>
      <c r="C51" s="276">
        <f ca="1">ROUND(C49*F50,0)</f>
        <v>5982</v>
      </c>
      <c r="D51" s="276"/>
      <c r="E51" s="276"/>
      <c r="F51" s="308"/>
      <c r="G51" s="278" t="s">
        <v>64</v>
      </c>
    </row>
    <row r="52" spans="1:7" s="252" customFormat="1" ht="16.5" thickBot="1">
      <c r="A52" s="309" t="s">
        <v>65</v>
      </c>
      <c r="B52" s="310"/>
      <c r="C52" s="311">
        <f ca="1">C31+C51</f>
        <v>35203</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411" t="s">
        <v>156</v>
      </c>
      <c r="B1" s="3411"/>
      <c r="C1" s="3411"/>
      <c r="D1" s="3411"/>
      <c r="E1" s="3411"/>
      <c r="F1" s="34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412" t="s">
        <v>169</v>
      </c>
      <c r="B2" s="3412"/>
      <c r="C2" s="3412"/>
      <c r="D2" s="3412"/>
      <c r="E2" s="3412"/>
      <c r="F2" s="34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411" t="s">
        <v>867</v>
      </c>
      <c r="B1" s="3411"/>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1632</v>
      </c>
      <c r="B2" s="3092" t="s">
        <v>1633</v>
      </c>
      <c r="C2" s="3092" t="s">
        <v>1634</v>
      </c>
      <c r="D2" s="3092" t="str">
        <f>'结果表-办公'!D116</f>
        <v>出让国有建设用地使用权价值</v>
      </c>
      <c r="E2" s="3092"/>
      <c r="F2" s="3092" t="str">
        <f>'结果表-办公'!F116</f>
        <v>在建建筑物价值</v>
      </c>
      <c r="G2" s="3092"/>
      <c r="H2" s="3092" t="str">
        <f>IF(项目基本情况!B9="房地产市场价值","房地产市场价值","房地产价值")</f>
        <v>房地产价值</v>
      </c>
      <c r="I2" s="3092"/>
    </row>
    <row r="3" spans="1:9" ht="15">
      <c r="A3" s="3093"/>
      <c r="B3" s="3093"/>
      <c r="C3" s="3093"/>
      <c r="D3" s="1040" t="s">
        <v>1629</v>
      </c>
      <c r="E3" s="1040" t="s">
        <v>1635</v>
      </c>
      <c r="F3" s="1040" t="s">
        <v>1629</v>
      </c>
      <c r="G3" s="1040" t="s">
        <v>1630</v>
      </c>
      <c r="H3" s="1040" t="s">
        <v>1629</v>
      </c>
      <c r="I3" s="1040" t="s">
        <v>1630</v>
      </c>
    </row>
    <row r="4" spans="1:9" ht="15">
      <c r="A4" s="1967" t="str">
        <f>项目基本情况!S2</f>
        <v>北京市房地产</v>
      </c>
      <c r="B4" s="1040">
        <f>项目基本情况!C17</f>
        <v>21282.42</v>
      </c>
      <c r="C4" s="1040">
        <f>项目基本情况!C18</f>
        <v>2179.29</v>
      </c>
      <c r="D4" s="1040" t="e">
        <f ca="1">'结果表-办公'!D118</f>
        <v>#REF!</v>
      </c>
      <c r="E4" s="1040" t="e">
        <f ca="1">'结果表-办公'!E118</f>
        <v>#REF!</v>
      </c>
      <c r="F4" s="1040" t="e">
        <f ca="1">'结果表-办公'!F118</f>
        <v>#REF!</v>
      </c>
      <c r="G4" s="1040" t="e">
        <f ca="1">'结果表-办公'!G118</f>
        <v>#REF!</v>
      </c>
      <c r="H4" s="1040">
        <f ca="1">'结果表-办公'!H118</f>
        <v>6633</v>
      </c>
      <c r="I4" s="1040">
        <f ca="1">'结果表-办公'!I118</f>
        <v>3117</v>
      </c>
    </row>
    <row r="5" spans="1:9" ht="30" customHeight="1">
      <c r="A5" s="3093" t="s">
        <v>1631</v>
      </c>
      <c r="B5" s="3093"/>
      <c r="C5" s="3093"/>
      <c r="D5" s="3094" t="e">
        <f ca="1">'结果表-办公'!D119</f>
        <v>#REF!</v>
      </c>
      <c r="E5" s="3094"/>
      <c r="F5" s="3094" t="e">
        <f ca="1">'结果表-办公'!F119</f>
        <v>#REF!</v>
      </c>
      <c r="G5" s="3094"/>
      <c r="H5" s="3094" t="str">
        <f ca="1">'结果表-办公'!H119</f>
        <v>陆仟陆佰叁拾叁万元整</v>
      </c>
      <c r="I5" s="3094"/>
    </row>
    <row r="6" spans="1:9" ht="15.75">
      <c r="A6" s="3095" t="str">
        <f>'结果表-办公'!A120</f>
        <v>估价师知悉的法定优先受偿款</v>
      </c>
      <c r="B6" s="3095"/>
      <c r="C6" s="3095"/>
      <c r="D6" s="3095">
        <f>'结果表-办公'!D120</f>
        <v>0</v>
      </c>
      <c r="E6" s="3095"/>
      <c r="F6" s="3095"/>
      <c r="G6" s="3095"/>
      <c r="H6" s="3095"/>
      <c r="I6" s="3095"/>
    </row>
    <row r="7" spans="1:9" ht="15">
      <c r="A7" s="3093" t="s">
        <v>1631</v>
      </c>
      <c r="B7" s="3093"/>
      <c r="C7" s="3093"/>
      <c r="D7" s="3096" t="str">
        <f>'结果表-办公'!D121</f>
        <v>零元整</v>
      </c>
      <c r="E7" s="3097"/>
      <c r="F7" s="3097"/>
      <c r="G7" s="3097"/>
      <c r="H7" s="3097"/>
      <c r="I7" s="3098"/>
    </row>
    <row r="8" spans="1:9" ht="15.75">
      <c r="A8" s="3095" t="str">
        <f>'结果表-办公'!A122</f>
        <v/>
      </c>
      <c r="B8" s="3095"/>
      <c r="C8" s="3095"/>
      <c r="D8" s="3095" t="str">
        <f>'结果表-办公'!D122</f>
        <v>——</v>
      </c>
      <c r="E8" s="3095"/>
      <c r="F8" s="3095"/>
      <c r="G8" s="3095"/>
      <c r="H8" s="3095"/>
      <c r="I8" s="3095"/>
    </row>
    <row r="9" spans="1:9" ht="15">
      <c r="A9" s="3093" t="s">
        <v>1631</v>
      </c>
      <c r="B9" s="3093"/>
      <c r="C9" s="3093"/>
      <c r="D9" s="3094" t="e">
        <f>'结果表-办公'!D123</f>
        <v>#VALUE!</v>
      </c>
      <c r="E9" s="3094"/>
      <c r="F9" s="3094"/>
      <c r="G9" s="3094"/>
      <c r="H9" s="3094"/>
      <c r="I9" s="3094"/>
    </row>
    <row r="10" spans="1:9" ht="15.75">
      <c r="A10" s="3095" t="str">
        <f>'结果表-办公'!A124</f>
        <v>抵押担保权已注销时的房地产抵押价值</v>
      </c>
      <c r="B10" s="3095"/>
      <c r="C10" s="3095"/>
      <c r="D10" s="3095">
        <f ca="1">'结果表-办公'!D124</f>
        <v>6633</v>
      </c>
      <c r="E10" s="3095"/>
      <c r="F10" s="3095"/>
      <c r="G10" s="3095"/>
      <c r="H10" s="3095"/>
      <c r="I10" s="3095"/>
    </row>
    <row r="11" spans="1:9" ht="15">
      <c r="A11" s="3093" t="s">
        <v>1631</v>
      </c>
      <c r="B11" s="3093"/>
      <c r="C11" s="3093"/>
      <c r="D11" s="3094" t="str">
        <f ca="1">'结果表-办公'!D125</f>
        <v>陆仟陆佰叁拾叁万元整</v>
      </c>
      <c r="E11" s="3094"/>
      <c r="F11" s="3094"/>
      <c r="G11" s="3094"/>
      <c r="H11" s="3094"/>
      <c r="I11" s="3094"/>
    </row>
    <row r="12" spans="1:9" ht="15.75">
      <c r="A12" s="3095" t="str">
        <f>'结果表-办公'!A126</f>
        <v/>
      </c>
      <c r="B12" s="3095"/>
      <c r="C12" s="3095"/>
      <c r="D12" s="3095" t="str">
        <f>'结果表-办公'!D126</f>
        <v>——</v>
      </c>
      <c r="E12" s="3095"/>
      <c r="F12" s="3095"/>
      <c r="G12" s="3095"/>
      <c r="H12" s="3095"/>
      <c r="I12" s="3095"/>
    </row>
    <row r="13" spans="1:9" ht="15.75" thickBot="1">
      <c r="A13" s="3099" t="s">
        <v>1631</v>
      </c>
      <c r="B13" s="3099"/>
      <c r="C13" s="3099"/>
      <c r="D13" s="3100" t="e">
        <f>'结果表-办公'!D127</f>
        <v>#VALUE!</v>
      </c>
      <c r="E13" s="3100"/>
      <c r="F13" s="3100"/>
      <c r="G13" s="3100"/>
      <c r="H13" s="3100"/>
      <c r="I13" s="3100"/>
    </row>
    <row r="14" spans="1:9" ht="15" thickTop="1">
      <c r="A14" s="3101" t="s">
        <v>1636</v>
      </c>
      <c r="B14" s="3101"/>
      <c r="C14" s="3101"/>
      <c r="D14" s="3101"/>
      <c r="E14" s="3101"/>
      <c r="F14" s="3101"/>
      <c r="G14" s="3101"/>
      <c r="H14" s="3101"/>
      <c r="I14" s="3101"/>
    </row>
    <row r="16" spans="1:9" ht="18.75">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43795</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S4"/>
  <sheetViews>
    <sheetView workbookViewId="0">
      <selection activeCell="S21" sqref="S21"/>
    </sheetView>
  </sheetViews>
  <sheetFormatPr defaultRowHeight="13.5"/>
  <sheetData>
    <row r="3" spans="19:19">
      <c r="S3" s="2973" t="s">
        <v>3079</v>
      </c>
    </row>
    <row r="4" spans="19:19">
      <c r="S4" s="2973" t="s">
        <v>3080</v>
      </c>
    </row>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N2"/>
  <sheetViews>
    <sheetView topLeftCell="A79" workbookViewId="0">
      <selection activeCell="O84" sqref="O84"/>
    </sheetView>
  </sheetViews>
  <sheetFormatPr defaultRowHeight="13.5"/>
  <sheetData>
    <row r="2" spans="13:14">
      <c r="M2" s="3415" t="s">
        <v>3074</v>
      </c>
      <c r="N2" s="3415"/>
    </row>
  </sheetData>
  <mergeCells count="1">
    <mergeCell ref="M2:N2"/>
  </mergeCells>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3"/>
  <sheetViews>
    <sheetView workbookViewId="0">
      <selection activeCell="M6" sqref="M6"/>
    </sheetView>
  </sheetViews>
  <sheetFormatPr defaultRowHeight="13.5"/>
  <cols>
    <col min="1" max="2" width="9" style="3026"/>
    <col min="3" max="3" width="15.25" style="3026" customWidth="1"/>
    <col min="4" max="4" width="28" style="3026" customWidth="1"/>
    <col min="5" max="6" width="9" style="3026"/>
    <col min="7" max="7" width="13.125" style="3026" customWidth="1"/>
    <col min="8" max="9" width="9" style="3026"/>
    <col min="10" max="10" width="14.125" style="3026" customWidth="1"/>
    <col min="11" max="11" width="10" style="3026" customWidth="1"/>
    <col min="12" max="16384" width="9" style="3026"/>
  </cols>
  <sheetData>
    <row r="2" spans="2:11">
      <c r="B2" s="3416" t="s">
        <v>3119</v>
      </c>
      <c r="C2" s="3416"/>
      <c r="D2" s="3416"/>
      <c r="E2" s="3024"/>
      <c r="F2" s="3024"/>
      <c r="G2" s="3024"/>
      <c r="H2" s="3024"/>
      <c r="I2" s="3024"/>
      <c r="J2" s="3025"/>
      <c r="K2" s="3024"/>
    </row>
    <row r="3" spans="2:11">
      <c r="B3" s="3027" t="s">
        <v>3120</v>
      </c>
      <c r="C3" s="2991" t="s">
        <v>3121</v>
      </c>
      <c r="D3" s="2991" t="s">
        <v>3122</v>
      </c>
      <c r="E3" s="2991" t="s">
        <v>3123</v>
      </c>
      <c r="F3" s="2991" t="s">
        <v>3124</v>
      </c>
      <c r="G3" s="2991" t="s">
        <v>3125</v>
      </c>
      <c r="H3" s="3028" t="s">
        <v>3126</v>
      </c>
      <c r="I3" s="3028" t="s">
        <v>3127</v>
      </c>
      <c r="J3" s="3029" t="s">
        <v>3128</v>
      </c>
      <c r="K3" s="3024"/>
    </row>
    <row r="4" spans="2:11">
      <c r="B4" s="3027">
        <v>1</v>
      </c>
      <c r="C4" s="2992">
        <v>101</v>
      </c>
      <c r="D4" s="2993" t="s">
        <v>3129</v>
      </c>
      <c r="E4" s="2994">
        <v>50</v>
      </c>
      <c r="F4" s="2995"/>
      <c r="G4" s="3030">
        <v>1666.66</v>
      </c>
      <c r="H4" s="2996">
        <v>43405</v>
      </c>
      <c r="I4" s="2996">
        <v>43769</v>
      </c>
      <c r="J4" s="3031"/>
      <c r="K4" s="3044">
        <f>G4/30/E4</f>
        <v>1.1111066666666667</v>
      </c>
    </row>
    <row r="5" spans="2:11">
      <c r="B5" s="3032">
        <v>2</v>
      </c>
      <c r="C5" s="2997" t="s">
        <v>3130</v>
      </c>
      <c r="D5" s="2998" t="s">
        <v>3131</v>
      </c>
      <c r="E5" s="2999">
        <v>177.71</v>
      </c>
      <c r="F5" s="3000"/>
      <c r="G5" s="3033"/>
      <c r="H5" s="3001">
        <v>43344</v>
      </c>
      <c r="I5" s="3001">
        <v>46265</v>
      </c>
      <c r="J5" s="3002" t="s">
        <v>3132</v>
      </c>
      <c r="K5" s="3044">
        <f t="shared" ref="K5:K68" si="0">G5/30/E5</f>
        <v>0</v>
      </c>
    </row>
    <row r="6" spans="2:11">
      <c r="B6" s="3027">
        <v>3</v>
      </c>
      <c r="C6" s="2992" t="s">
        <v>3133</v>
      </c>
      <c r="D6" s="2993" t="s">
        <v>3134</v>
      </c>
      <c r="E6" s="2994">
        <v>109.65</v>
      </c>
      <c r="F6" s="2995">
        <v>210</v>
      </c>
      <c r="G6" s="3034">
        <f t="shared" ref="G6:G69" si="1">ROUND(E6*F6,2)</f>
        <v>23026.5</v>
      </c>
      <c r="H6" s="2996">
        <v>43416</v>
      </c>
      <c r="I6" s="2996">
        <v>44511</v>
      </c>
      <c r="J6" s="3031"/>
      <c r="K6" s="3044">
        <f t="shared" si="0"/>
        <v>6.9999999999999991</v>
      </c>
    </row>
    <row r="7" spans="2:11">
      <c r="B7" s="3027">
        <v>4</v>
      </c>
      <c r="C7" s="2992" t="s">
        <v>3135</v>
      </c>
      <c r="D7" s="2993" t="s">
        <v>3136</v>
      </c>
      <c r="E7" s="2994">
        <v>327.56</v>
      </c>
      <c r="F7" s="2995">
        <v>210</v>
      </c>
      <c r="G7" s="3034">
        <f t="shared" si="1"/>
        <v>68787.600000000006</v>
      </c>
      <c r="H7" s="3003">
        <v>43439</v>
      </c>
      <c r="I7" s="2996">
        <v>44534</v>
      </c>
      <c r="J7" s="3031"/>
      <c r="K7" s="3044">
        <f t="shared" si="0"/>
        <v>7</v>
      </c>
    </row>
    <row r="8" spans="2:11">
      <c r="B8" s="3027">
        <v>5</v>
      </c>
      <c r="C8" s="2992">
        <v>129</v>
      </c>
      <c r="D8" s="2993" t="s">
        <v>3137</v>
      </c>
      <c r="E8" s="2994">
        <v>100</v>
      </c>
      <c r="F8" s="2995">
        <v>180</v>
      </c>
      <c r="G8" s="3034">
        <f t="shared" si="1"/>
        <v>18000</v>
      </c>
      <c r="H8" s="2996">
        <v>43732</v>
      </c>
      <c r="I8" s="2996">
        <v>44462</v>
      </c>
      <c r="J8" s="3035"/>
      <c r="K8" s="3044">
        <f t="shared" si="0"/>
        <v>6</v>
      </c>
    </row>
    <row r="9" spans="2:11">
      <c r="B9" s="3027">
        <v>6</v>
      </c>
      <c r="C9" s="2992" t="s">
        <v>3138</v>
      </c>
      <c r="D9" s="2993" t="s">
        <v>3139</v>
      </c>
      <c r="E9" s="2994">
        <v>311.38</v>
      </c>
      <c r="F9" s="2995">
        <v>180</v>
      </c>
      <c r="G9" s="3034">
        <f t="shared" si="1"/>
        <v>56048.4</v>
      </c>
      <c r="H9" s="2996">
        <v>43732</v>
      </c>
      <c r="I9" s="2996">
        <v>44462</v>
      </c>
      <c r="J9" s="3035"/>
      <c r="K9" s="3044">
        <f t="shared" si="0"/>
        <v>6</v>
      </c>
    </row>
    <row r="10" spans="2:11">
      <c r="B10" s="3027">
        <v>7</v>
      </c>
      <c r="C10" s="2992">
        <v>135</v>
      </c>
      <c r="D10" s="3004" t="s">
        <v>3140</v>
      </c>
      <c r="E10" s="2994">
        <v>12.15</v>
      </c>
      <c r="F10" s="2995">
        <v>135</v>
      </c>
      <c r="G10" s="3034">
        <f t="shared" si="1"/>
        <v>1640.25</v>
      </c>
      <c r="H10" s="3003">
        <v>43176</v>
      </c>
      <c r="I10" s="2996">
        <v>43906</v>
      </c>
      <c r="J10" s="3031"/>
      <c r="K10" s="3044">
        <f t="shared" si="0"/>
        <v>4.5</v>
      </c>
    </row>
    <row r="11" spans="2:11">
      <c r="B11" s="3027">
        <v>8</v>
      </c>
      <c r="C11" s="2992" t="s">
        <v>3141</v>
      </c>
      <c r="D11" s="2993" t="s">
        <v>3142</v>
      </c>
      <c r="E11" s="2994">
        <v>350.4</v>
      </c>
      <c r="F11" s="2995">
        <v>170</v>
      </c>
      <c r="G11" s="3034">
        <f t="shared" si="1"/>
        <v>59568</v>
      </c>
      <c r="H11" s="2996">
        <v>43335</v>
      </c>
      <c r="I11" s="2996">
        <v>44065</v>
      </c>
      <c r="J11" s="3036"/>
      <c r="K11" s="3044">
        <f t="shared" si="0"/>
        <v>5.666666666666667</v>
      </c>
    </row>
    <row r="12" spans="2:11">
      <c r="B12" s="3027">
        <v>9</v>
      </c>
      <c r="C12" s="2992" t="s">
        <v>3143</v>
      </c>
      <c r="D12" s="2993" t="s">
        <v>3144</v>
      </c>
      <c r="E12" s="2994">
        <v>185.94</v>
      </c>
      <c r="F12" s="2995">
        <v>210</v>
      </c>
      <c r="G12" s="3034">
        <f t="shared" si="1"/>
        <v>39047.4</v>
      </c>
      <c r="H12" s="2996">
        <v>43617</v>
      </c>
      <c r="I12" s="2996">
        <v>43982</v>
      </c>
      <c r="J12" s="3035"/>
      <c r="K12" s="3044">
        <f t="shared" si="0"/>
        <v>7.0000000000000009</v>
      </c>
    </row>
    <row r="13" spans="2:11">
      <c r="B13" s="3027">
        <v>10</v>
      </c>
      <c r="C13" s="3005">
        <v>208</v>
      </c>
      <c r="D13" s="3004" t="s">
        <v>3145</v>
      </c>
      <c r="E13" s="2994">
        <v>75</v>
      </c>
      <c r="F13" s="2995">
        <v>185</v>
      </c>
      <c r="G13" s="3034">
        <f t="shared" si="1"/>
        <v>13875</v>
      </c>
      <c r="H13" s="3003">
        <v>43174</v>
      </c>
      <c r="I13" s="2996">
        <v>43904</v>
      </c>
      <c r="J13" s="3036"/>
      <c r="K13" s="3044">
        <f t="shared" si="0"/>
        <v>6.166666666666667</v>
      </c>
    </row>
    <row r="14" spans="2:11">
      <c r="B14" s="3027">
        <v>11</v>
      </c>
      <c r="C14" s="3005" t="s">
        <v>3146</v>
      </c>
      <c r="D14" s="2993" t="s">
        <v>3147</v>
      </c>
      <c r="E14" s="2994">
        <v>151.49</v>
      </c>
      <c r="F14" s="2995">
        <v>185</v>
      </c>
      <c r="G14" s="3034">
        <f t="shared" si="1"/>
        <v>28025.65</v>
      </c>
      <c r="H14" s="3003">
        <v>43191</v>
      </c>
      <c r="I14" s="2996">
        <v>44286</v>
      </c>
      <c r="J14" s="3031"/>
      <c r="K14" s="3044">
        <f t="shared" si="0"/>
        <v>6.166666666666667</v>
      </c>
    </row>
    <row r="15" spans="2:11">
      <c r="B15" s="3027">
        <v>12</v>
      </c>
      <c r="C15" s="3005" t="s">
        <v>3148</v>
      </c>
      <c r="D15" s="3004" t="s">
        <v>3149</v>
      </c>
      <c r="E15" s="2994">
        <v>383.44</v>
      </c>
      <c r="F15" s="2995">
        <v>175</v>
      </c>
      <c r="G15" s="3034">
        <f t="shared" si="1"/>
        <v>67102</v>
      </c>
      <c r="H15" s="3003">
        <v>43297</v>
      </c>
      <c r="I15" s="2996">
        <v>44027</v>
      </c>
      <c r="J15" s="3036"/>
      <c r="K15" s="3044">
        <f t="shared" si="0"/>
        <v>5.833333333333333</v>
      </c>
    </row>
    <row r="16" spans="2:11">
      <c r="B16" s="3027">
        <v>13</v>
      </c>
      <c r="C16" s="3006" t="s">
        <v>3150</v>
      </c>
      <c r="D16" s="3007" t="s">
        <v>3151</v>
      </c>
      <c r="E16" s="3008">
        <v>50</v>
      </c>
      <c r="F16" s="3009">
        <v>180</v>
      </c>
      <c r="G16" s="3034">
        <f t="shared" si="1"/>
        <v>9000</v>
      </c>
      <c r="H16" s="3010">
        <v>43235</v>
      </c>
      <c r="I16" s="3010">
        <v>44330</v>
      </c>
      <c r="J16" s="3031"/>
      <c r="K16" s="3044">
        <f t="shared" si="0"/>
        <v>6</v>
      </c>
    </row>
    <row r="17" spans="2:11">
      <c r="B17" s="3027">
        <v>14</v>
      </c>
      <c r="C17" s="2992" t="s">
        <v>3152</v>
      </c>
      <c r="D17" s="3004" t="s">
        <v>3153</v>
      </c>
      <c r="E17" s="2994">
        <v>857.51</v>
      </c>
      <c r="F17" s="2995">
        <v>180</v>
      </c>
      <c r="G17" s="3034">
        <f t="shared" si="1"/>
        <v>154351.79999999999</v>
      </c>
      <c r="H17" s="2996">
        <v>43146</v>
      </c>
      <c r="I17" s="2996">
        <v>43875</v>
      </c>
      <c r="J17" s="3031"/>
      <c r="K17" s="3044">
        <f t="shared" si="0"/>
        <v>5.9999999999999991</v>
      </c>
    </row>
    <row r="18" spans="2:11">
      <c r="B18" s="3027">
        <v>15</v>
      </c>
      <c r="C18" s="2992">
        <v>220</v>
      </c>
      <c r="D18" s="3004" t="s">
        <v>3153</v>
      </c>
      <c r="E18" s="2994">
        <v>167</v>
      </c>
      <c r="F18" s="2995">
        <v>180</v>
      </c>
      <c r="G18" s="3034">
        <f t="shared" si="1"/>
        <v>30060</v>
      </c>
      <c r="H18" s="2996">
        <v>43146</v>
      </c>
      <c r="I18" s="2996">
        <v>43875</v>
      </c>
      <c r="J18" s="3031"/>
      <c r="K18" s="3044">
        <f t="shared" si="0"/>
        <v>6</v>
      </c>
    </row>
    <row r="19" spans="2:11">
      <c r="B19" s="3027">
        <v>16</v>
      </c>
      <c r="C19" s="2992">
        <v>230</v>
      </c>
      <c r="D19" s="3004" t="s">
        <v>3154</v>
      </c>
      <c r="E19" s="2994">
        <v>89</v>
      </c>
      <c r="F19" s="2995">
        <v>180</v>
      </c>
      <c r="G19" s="3034">
        <f t="shared" si="1"/>
        <v>16020</v>
      </c>
      <c r="H19" s="2996">
        <v>43146</v>
      </c>
      <c r="I19" s="2996">
        <v>43875</v>
      </c>
      <c r="J19" s="3036"/>
      <c r="K19" s="3044">
        <f t="shared" si="0"/>
        <v>6</v>
      </c>
    </row>
    <row r="20" spans="2:11">
      <c r="B20" s="3027">
        <v>17</v>
      </c>
      <c r="C20" s="3006" t="s">
        <v>3155</v>
      </c>
      <c r="D20" s="3011" t="s">
        <v>3156</v>
      </c>
      <c r="E20" s="3008">
        <v>63.87</v>
      </c>
      <c r="F20" s="3009">
        <v>180</v>
      </c>
      <c r="G20" s="3034">
        <f t="shared" si="1"/>
        <v>11496.6</v>
      </c>
      <c r="H20" s="3010">
        <v>43235</v>
      </c>
      <c r="I20" s="3010">
        <v>44330</v>
      </c>
      <c r="J20" s="3036"/>
      <c r="K20" s="3044">
        <f t="shared" si="0"/>
        <v>6.0000000000000009</v>
      </c>
    </row>
    <row r="21" spans="2:11" ht="15.75" customHeight="1">
      <c r="B21" s="3027">
        <v>18</v>
      </c>
      <c r="C21" s="3006" t="s">
        <v>3157</v>
      </c>
      <c r="D21" s="3007" t="s">
        <v>3158</v>
      </c>
      <c r="E21" s="3008">
        <v>700.79</v>
      </c>
      <c r="F21" s="3009">
        <v>180</v>
      </c>
      <c r="G21" s="3034">
        <f t="shared" si="1"/>
        <v>126142.2</v>
      </c>
      <c r="H21" s="3010" t="s">
        <v>3159</v>
      </c>
      <c r="I21" s="3010">
        <v>44330</v>
      </c>
      <c r="J21" s="3031"/>
      <c r="K21" s="3044">
        <f t="shared" si="0"/>
        <v>6</v>
      </c>
    </row>
    <row r="22" spans="2:11">
      <c r="B22" s="3027">
        <v>19</v>
      </c>
      <c r="C22" s="2992" t="s">
        <v>3160</v>
      </c>
      <c r="D22" s="3004" t="s">
        <v>3161</v>
      </c>
      <c r="E22" s="2994">
        <v>2099.0100000000002</v>
      </c>
      <c r="F22" s="2995">
        <v>185</v>
      </c>
      <c r="G22" s="3034">
        <f t="shared" si="1"/>
        <v>388316.85</v>
      </c>
      <c r="H22" s="2996">
        <v>42948</v>
      </c>
      <c r="I22" s="2996">
        <v>44043</v>
      </c>
      <c r="J22" s="3036"/>
      <c r="K22" s="3044">
        <f t="shared" si="0"/>
        <v>6.1666666666666652</v>
      </c>
    </row>
    <row r="23" spans="2:11">
      <c r="B23" s="3027">
        <v>20</v>
      </c>
      <c r="C23" s="2992">
        <v>520</v>
      </c>
      <c r="D23" s="3004" t="s">
        <v>3162</v>
      </c>
      <c r="E23" s="2994">
        <v>73.22</v>
      </c>
      <c r="F23" s="2995">
        <v>195</v>
      </c>
      <c r="G23" s="3034">
        <f t="shared" si="1"/>
        <v>14277.9</v>
      </c>
      <c r="H23" s="3003">
        <v>43678</v>
      </c>
      <c r="I23" s="2996">
        <v>44408</v>
      </c>
      <c r="J23" s="3036"/>
      <c r="K23" s="3044">
        <f t="shared" si="0"/>
        <v>6.5</v>
      </c>
    </row>
    <row r="24" spans="2:11">
      <c r="B24" s="3027">
        <v>21</v>
      </c>
      <c r="C24" s="2992" t="s">
        <v>3163</v>
      </c>
      <c r="D24" s="2993" t="s">
        <v>3164</v>
      </c>
      <c r="E24" s="2994">
        <v>317.32</v>
      </c>
      <c r="F24" s="2995">
        <v>182</v>
      </c>
      <c r="G24" s="3034">
        <f t="shared" si="1"/>
        <v>57752.24</v>
      </c>
      <c r="H24" s="3003">
        <v>43631</v>
      </c>
      <c r="I24" s="2996">
        <v>43996</v>
      </c>
      <c r="J24" s="3036"/>
      <c r="K24" s="3044">
        <f t="shared" si="0"/>
        <v>6.0666666666666664</v>
      </c>
    </row>
    <row r="25" spans="2:11">
      <c r="B25" s="3027">
        <v>22</v>
      </c>
      <c r="C25" s="3012" t="s">
        <v>3165</v>
      </c>
      <c r="D25" s="2993" t="s">
        <v>3166</v>
      </c>
      <c r="E25" s="3012">
        <v>473.17</v>
      </c>
      <c r="F25" s="2995">
        <v>190</v>
      </c>
      <c r="G25" s="3034">
        <f t="shared" si="1"/>
        <v>89902.3</v>
      </c>
      <c r="H25" s="2996">
        <v>43385</v>
      </c>
      <c r="I25" s="2996">
        <v>44115</v>
      </c>
      <c r="J25" s="3031"/>
      <c r="K25" s="3044">
        <f t="shared" si="0"/>
        <v>6.333333333333333</v>
      </c>
    </row>
    <row r="26" spans="2:11">
      <c r="B26" s="3027">
        <v>23</v>
      </c>
      <c r="C26" s="3005" t="s">
        <v>3167</v>
      </c>
      <c r="D26" s="2993" t="s">
        <v>3168</v>
      </c>
      <c r="E26" s="2994">
        <v>270</v>
      </c>
      <c r="F26" s="2995">
        <v>190</v>
      </c>
      <c r="G26" s="3034">
        <f t="shared" si="1"/>
        <v>51300</v>
      </c>
      <c r="H26" s="3003">
        <v>43556</v>
      </c>
      <c r="I26" s="2996">
        <v>44651</v>
      </c>
      <c r="J26" s="3036"/>
      <c r="K26" s="3044">
        <f t="shared" si="0"/>
        <v>6.333333333333333</v>
      </c>
    </row>
    <row r="27" spans="2:11">
      <c r="B27" s="3027">
        <v>24</v>
      </c>
      <c r="C27" s="3005" t="s">
        <v>3169</v>
      </c>
      <c r="D27" s="2993" t="s">
        <v>3170</v>
      </c>
      <c r="E27" s="2994">
        <v>53.57</v>
      </c>
      <c r="F27" s="2995">
        <v>190</v>
      </c>
      <c r="G27" s="3034">
        <f t="shared" si="1"/>
        <v>10178.299999999999</v>
      </c>
      <c r="H27" s="3003">
        <v>43556</v>
      </c>
      <c r="I27" s="2996">
        <v>44651</v>
      </c>
      <c r="J27" s="3036"/>
      <c r="K27" s="3044">
        <f t="shared" si="0"/>
        <v>6.333333333333333</v>
      </c>
    </row>
    <row r="28" spans="2:11">
      <c r="B28" s="3027">
        <v>25</v>
      </c>
      <c r="C28" s="3012" t="s">
        <v>3171</v>
      </c>
      <c r="D28" s="2993" t="s">
        <v>3172</v>
      </c>
      <c r="E28" s="3012">
        <v>202.5</v>
      </c>
      <c r="F28" s="2995">
        <v>180</v>
      </c>
      <c r="G28" s="3034">
        <f t="shared" si="1"/>
        <v>36450</v>
      </c>
      <c r="H28" s="2996">
        <v>43537</v>
      </c>
      <c r="I28" s="2996">
        <v>44632</v>
      </c>
      <c r="J28" s="3036"/>
      <c r="K28" s="3044">
        <f t="shared" si="0"/>
        <v>6</v>
      </c>
    </row>
    <row r="29" spans="2:11">
      <c r="B29" s="3027">
        <v>26</v>
      </c>
      <c r="C29" s="3005" t="s">
        <v>3173</v>
      </c>
      <c r="D29" s="2993" t="s">
        <v>3174</v>
      </c>
      <c r="E29" s="2994">
        <v>76.58</v>
      </c>
      <c r="F29" s="2995">
        <v>185</v>
      </c>
      <c r="G29" s="3034">
        <f t="shared" si="1"/>
        <v>14167.3</v>
      </c>
      <c r="H29" s="3003">
        <v>43517</v>
      </c>
      <c r="I29" s="2996">
        <v>44247</v>
      </c>
      <c r="J29" s="3031"/>
      <c r="K29" s="3044">
        <f t="shared" si="0"/>
        <v>6.1666666666666661</v>
      </c>
    </row>
    <row r="30" spans="2:11">
      <c r="B30" s="3027">
        <v>27</v>
      </c>
      <c r="C30" s="3012" t="s">
        <v>3175</v>
      </c>
      <c r="D30" s="3012" t="s">
        <v>3176</v>
      </c>
      <c r="E30" s="2994">
        <v>249.02</v>
      </c>
      <c r="F30" s="2995">
        <v>201</v>
      </c>
      <c r="G30" s="3034">
        <f t="shared" si="1"/>
        <v>50053.02</v>
      </c>
      <c r="H30" s="2996">
        <v>43525</v>
      </c>
      <c r="I30" s="2996">
        <v>44255</v>
      </c>
      <c r="J30" s="3031"/>
      <c r="K30" s="3044">
        <f t="shared" si="0"/>
        <v>6.6999999999999993</v>
      </c>
    </row>
    <row r="31" spans="2:11">
      <c r="B31" s="3027">
        <v>28</v>
      </c>
      <c r="C31" s="3013" t="s">
        <v>3177</v>
      </c>
      <c r="D31" s="3014" t="s">
        <v>3178</v>
      </c>
      <c r="E31" s="3015">
        <v>108.45</v>
      </c>
      <c r="F31" s="2995">
        <v>180</v>
      </c>
      <c r="G31" s="3034">
        <f t="shared" si="1"/>
        <v>19521</v>
      </c>
      <c r="H31" s="3003">
        <v>43764</v>
      </c>
      <c r="I31" s="2996">
        <v>44494</v>
      </c>
      <c r="J31" s="3031"/>
      <c r="K31" s="3044">
        <f t="shared" si="0"/>
        <v>6</v>
      </c>
    </row>
    <row r="32" spans="2:11">
      <c r="B32" s="3027">
        <v>29</v>
      </c>
      <c r="C32" s="3013" t="s">
        <v>3179</v>
      </c>
      <c r="D32" s="3014" t="s">
        <v>3180</v>
      </c>
      <c r="E32" s="3015">
        <v>499.75</v>
      </c>
      <c r="F32" s="2995">
        <v>192</v>
      </c>
      <c r="G32" s="3034">
        <f t="shared" si="1"/>
        <v>95952</v>
      </c>
      <c r="H32" s="3003">
        <v>43040</v>
      </c>
      <c r="I32" s="2996">
        <v>44135</v>
      </c>
      <c r="J32" s="3031"/>
      <c r="K32" s="3044">
        <f t="shared" si="0"/>
        <v>6.4</v>
      </c>
    </row>
    <row r="33" spans="2:11">
      <c r="B33" s="3027">
        <v>30</v>
      </c>
      <c r="C33" s="3012">
        <v>920</v>
      </c>
      <c r="D33" s="3037" t="s">
        <v>3181</v>
      </c>
      <c r="E33" s="2994">
        <v>83.08</v>
      </c>
      <c r="F33" s="2995">
        <v>195</v>
      </c>
      <c r="G33" s="3034">
        <f t="shared" si="1"/>
        <v>16200.6</v>
      </c>
      <c r="H33" s="2996">
        <v>43492</v>
      </c>
      <c r="I33" s="2996">
        <v>43856</v>
      </c>
      <c r="J33" s="3031"/>
      <c r="K33" s="3044">
        <f t="shared" si="0"/>
        <v>6.5</v>
      </c>
    </row>
    <row r="34" spans="2:11">
      <c r="B34" s="3027">
        <v>31</v>
      </c>
      <c r="C34" s="3012">
        <v>1105</v>
      </c>
      <c r="D34" s="3037" t="s">
        <v>3182</v>
      </c>
      <c r="E34" s="2994">
        <v>50</v>
      </c>
      <c r="F34" s="2995">
        <v>190</v>
      </c>
      <c r="G34" s="3034">
        <f t="shared" si="1"/>
        <v>9500</v>
      </c>
      <c r="H34" s="2996">
        <v>43617</v>
      </c>
      <c r="I34" s="2996">
        <v>44712</v>
      </c>
      <c r="J34" s="3031"/>
      <c r="K34" s="3044">
        <f t="shared" si="0"/>
        <v>6.3333333333333339</v>
      </c>
    </row>
    <row r="35" spans="2:11">
      <c r="B35" s="3027">
        <v>32</v>
      </c>
      <c r="C35" s="3013">
        <v>1106</v>
      </c>
      <c r="D35" s="3016" t="s">
        <v>3183</v>
      </c>
      <c r="E35" s="3015">
        <v>200</v>
      </c>
      <c r="F35" s="2995">
        <v>190</v>
      </c>
      <c r="G35" s="3034">
        <f t="shared" si="1"/>
        <v>38000</v>
      </c>
      <c r="H35" s="2996">
        <v>43617</v>
      </c>
      <c r="I35" s="2996">
        <v>44712</v>
      </c>
      <c r="J35" s="3031"/>
      <c r="K35" s="3044">
        <f t="shared" si="0"/>
        <v>6.3333333333333339</v>
      </c>
    </row>
    <row r="36" spans="2:11">
      <c r="B36" s="3027">
        <v>33</v>
      </c>
      <c r="C36" s="3013" t="s">
        <v>3184</v>
      </c>
      <c r="D36" s="3014" t="s">
        <v>3185</v>
      </c>
      <c r="E36" s="3015">
        <v>87.87</v>
      </c>
      <c r="F36" s="2995">
        <v>190</v>
      </c>
      <c r="G36" s="3034">
        <f t="shared" si="1"/>
        <v>16695.3</v>
      </c>
      <c r="H36" s="2996">
        <v>43617</v>
      </c>
      <c r="I36" s="2996">
        <v>44712</v>
      </c>
      <c r="J36" s="3036"/>
      <c r="K36" s="3044">
        <f t="shared" si="0"/>
        <v>6.333333333333333</v>
      </c>
    </row>
    <row r="37" spans="2:11">
      <c r="B37" s="3027">
        <v>34</v>
      </c>
      <c r="C37" s="3012" t="s">
        <v>3186</v>
      </c>
      <c r="D37" s="3012" t="s">
        <v>3187</v>
      </c>
      <c r="E37" s="2994">
        <v>164.68</v>
      </c>
      <c r="F37" s="2995">
        <v>190</v>
      </c>
      <c r="G37" s="3034">
        <f t="shared" si="1"/>
        <v>31289.200000000001</v>
      </c>
      <c r="H37" s="2996">
        <v>43054</v>
      </c>
      <c r="I37" s="2996">
        <v>43783</v>
      </c>
      <c r="J37" s="3036"/>
      <c r="K37" s="3044">
        <f t="shared" si="0"/>
        <v>6.333333333333333</v>
      </c>
    </row>
    <row r="38" spans="2:11">
      <c r="B38" s="3027">
        <v>35</v>
      </c>
      <c r="C38" s="3012" t="s">
        <v>3188</v>
      </c>
      <c r="D38" s="3037" t="s">
        <v>3189</v>
      </c>
      <c r="E38" s="2994">
        <v>161.08000000000001</v>
      </c>
      <c r="F38" s="2995">
        <v>195</v>
      </c>
      <c r="G38" s="3034">
        <f t="shared" si="1"/>
        <v>31410.6</v>
      </c>
      <c r="H38" s="2996">
        <v>43633</v>
      </c>
      <c r="I38" s="2996">
        <v>44363</v>
      </c>
      <c r="J38" s="3036"/>
      <c r="K38" s="3044">
        <f t="shared" si="0"/>
        <v>6.4999999999999991</v>
      </c>
    </row>
    <row r="39" spans="2:11">
      <c r="B39" s="3027">
        <v>36</v>
      </c>
      <c r="C39" s="3013" t="s">
        <v>3190</v>
      </c>
      <c r="D39" s="3014" t="s">
        <v>3191</v>
      </c>
      <c r="E39" s="3015">
        <v>167.07</v>
      </c>
      <c r="F39" s="2995">
        <v>195</v>
      </c>
      <c r="G39" s="3034">
        <f t="shared" si="1"/>
        <v>32578.65</v>
      </c>
      <c r="H39" s="3003">
        <v>43221</v>
      </c>
      <c r="I39" s="2996">
        <v>44316</v>
      </c>
      <c r="J39" s="3031"/>
      <c r="K39" s="3044">
        <f t="shared" si="0"/>
        <v>6.5000000000000009</v>
      </c>
    </row>
    <row r="40" spans="2:11">
      <c r="B40" s="3027">
        <v>37</v>
      </c>
      <c r="C40" s="3013" t="s">
        <v>3192</v>
      </c>
      <c r="D40" s="3017" t="s">
        <v>3193</v>
      </c>
      <c r="E40" s="3015">
        <v>193.39</v>
      </c>
      <c r="F40" s="2995">
        <v>195</v>
      </c>
      <c r="G40" s="3034">
        <f t="shared" si="1"/>
        <v>37711.050000000003</v>
      </c>
      <c r="H40" s="3003">
        <v>43575</v>
      </c>
      <c r="I40" s="2996">
        <v>44305</v>
      </c>
      <c r="J40" s="3036"/>
      <c r="K40" s="3044">
        <f t="shared" si="0"/>
        <v>6.5000000000000009</v>
      </c>
    </row>
    <row r="41" spans="2:11">
      <c r="B41" s="3027">
        <v>38</v>
      </c>
      <c r="C41" s="3005">
        <v>1301</v>
      </c>
      <c r="D41" s="2993" t="s">
        <v>3194</v>
      </c>
      <c r="E41" s="2994">
        <v>59.96</v>
      </c>
      <c r="F41" s="2995">
        <v>195</v>
      </c>
      <c r="G41" s="3034">
        <f t="shared" si="1"/>
        <v>11692.2</v>
      </c>
      <c r="H41" s="2996">
        <v>43652</v>
      </c>
      <c r="I41" s="3003">
        <v>44382</v>
      </c>
      <c r="J41" s="3031"/>
      <c r="K41" s="3044">
        <f t="shared" si="0"/>
        <v>6.5</v>
      </c>
    </row>
    <row r="42" spans="2:11">
      <c r="B42" s="3027">
        <v>39</v>
      </c>
      <c r="C42" s="3005">
        <v>1302</v>
      </c>
      <c r="D42" s="3004" t="s">
        <v>3195</v>
      </c>
      <c r="E42" s="2994">
        <v>100</v>
      </c>
      <c r="F42" s="2995">
        <v>185</v>
      </c>
      <c r="G42" s="3034">
        <f t="shared" si="1"/>
        <v>18500</v>
      </c>
      <c r="H42" s="2996">
        <v>43746</v>
      </c>
      <c r="I42" s="3003">
        <v>44841</v>
      </c>
      <c r="J42" s="3036"/>
      <c r="K42" s="3044">
        <f t="shared" si="0"/>
        <v>6.1666666666666661</v>
      </c>
    </row>
    <row r="43" spans="2:11">
      <c r="B43" s="3027">
        <v>40</v>
      </c>
      <c r="C43" s="3005" t="s">
        <v>3196</v>
      </c>
      <c r="D43" s="3004" t="s">
        <v>3197</v>
      </c>
      <c r="E43" s="2994">
        <v>88.56</v>
      </c>
      <c r="F43" s="2995">
        <v>185</v>
      </c>
      <c r="G43" s="3034">
        <f t="shared" si="1"/>
        <v>16383.6</v>
      </c>
      <c r="H43" s="2996">
        <v>43746</v>
      </c>
      <c r="I43" s="3003">
        <v>44841</v>
      </c>
      <c r="J43" s="3036"/>
      <c r="K43" s="3044">
        <f t="shared" si="0"/>
        <v>6.166666666666667</v>
      </c>
    </row>
    <row r="44" spans="2:11">
      <c r="B44" s="3027">
        <v>41</v>
      </c>
      <c r="C44" s="3005" t="s">
        <v>3198</v>
      </c>
      <c r="D44" s="2993" t="s">
        <v>3199</v>
      </c>
      <c r="E44" s="2994">
        <v>177.74</v>
      </c>
      <c r="F44" s="2995">
        <v>185</v>
      </c>
      <c r="G44" s="3034">
        <f t="shared" si="1"/>
        <v>32881.9</v>
      </c>
      <c r="H44" s="2996">
        <v>43661</v>
      </c>
      <c r="I44" s="3003">
        <v>44756</v>
      </c>
      <c r="J44" s="3031"/>
      <c r="K44" s="3044">
        <f t="shared" si="0"/>
        <v>6.1666666666666661</v>
      </c>
    </row>
    <row r="45" spans="2:11">
      <c r="B45" s="3027">
        <v>42</v>
      </c>
      <c r="C45" s="3005" t="s">
        <v>3200</v>
      </c>
      <c r="D45" s="3004" t="s">
        <v>3201</v>
      </c>
      <c r="E45" s="2994">
        <v>100</v>
      </c>
      <c r="F45" s="2995">
        <v>190</v>
      </c>
      <c r="G45" s="3034">
        <f t="shared" si="1"/>
        <v>19000</v>
      </c>
      <c r="H45" s="3003">
        <v>43169</v>
      </c>
      <c r="I45" s="2996">
        <v>44113</v>
      </c>
      <c r="J45" s="3036"/>
      <c r="K45" s="3044">
        <f t="shared" si="0"/>
        <v>6.3333333333333339</v>
      </c>
    </row>
    <row r="46" spans="2:11">
      <c r="B46" s="3027">
        <v>43</v>
      </c>
      <c r="C46" s="3005" t="s">
        <v>3202</v>
      </c>
      <c r="D46" s="3004" t="s">
        <v>3203</v>
      </c>
      <c r="E46" s="2994">
        <v>80</v>
      </c>
      <c r="F46" s="2995">
        <v>190</v>
      </c>
      <c r="G46" s="3034">
        <f t="shared" si="1"/>
        <v>15200</v>
      </c>
      <c r="H46" s="3003">
        <v>43169</v>
      </c>
      <c r="I46" s="2996">
        <v>44113</v>
      </c>
      <c r="J46" s="3036"/>
      <c r="K46" s="3044">
        <f t="shared" si="0"/>
        <v>6.3333333333333339</v>
      </c>
    </row>
    <row r="47" spans="2:11">
      <c r="B47" s="3027">
        <v>44</v>
      </c>
      <c r="C47" s="3005" t="s">
        <v>3204</v>
      </c>
      <c r="D47" s="3004" t="s">
        <v>3205</v>
      </c>
      <c r="E47" s="2994">
        <v>172.48</v>
      </c>
      <c r="F47" s="2995">
        <v>190</v>
      </c>
      <c r="G47" s="3034">
        <f t="shared" si="1"/>
        <v>32771.199999999997</v>
      </c>
      <c r="H47" s="3003">
        <v>43169</v>
      </c>
      <c r="I47" s="2996">
        <v>44113</v>
      </c>
      <c r="J47" s="3036"/>
      <c r="K47" s="3044">
        <f t="shared" si="0"/>
        <v>6.333333333333333</v>
      </c>
    </row>
    <row r="48" spans="2:11">
      <c r="B48" s="3027">
        <v>45</v>
      </c>
      <c r="C48" s="3005" t="s">
        <v>3206</v>
      </c>
      <c r="D48" s="2993" t="s">
        <v>3207</v>
      </c>
      <c r="E48" s="2994">
        <v>80</v>
      </c>
      <c r="F48" s="2995">
        <v>190</v>
      </c>
      <c r="G48" s="3034">
        <f t="shared" si="1"/>
        <v>15200</v>
      </c>
      <c r="H48" s="3003">
        <v>43169</v>
      </c>
      <c r="I48" s="2996">
        <v>44113</v>
      </c>
      <c r="J48" s="3036"/>
      <c r="K48" s="3044">
        <f t="shared" si="0"/>
        <v>6.3333333333333339</v>
      </c>
    </row>
    <row r="49" spans="2:11">
      <c r="B49" s="3027">
        <v>46</v>
      </c>
      <c r="C49" s="3005" t="s">
        <v>3208</v>
      </c>
      <c r="D49" s="2993" t="s">
        <v>3209</v>
      </c>
      <c r="E49" s="2994">
        <v>74.930000000000007</v>
      </c>
      <c r="F49" s="2995">
        <v>195</v>
      </c>
      <c r="G49" s="3034">
        <f t="shared" si="1"/>
        <v>14611.35</v>
      </c>
      <c r="H49" s="3003">
        <v>43720</v>
      </c>
      <c r="I49" s="2996">
        <v>44085</v>
      </c>
      <c r="J49" s="3036"/>
      <c r="K49" s="3044">
        <f t="shared" si="0"/>
        <v>6.5</v>
      </c>
    </row>
    <row r="50" spans="2:11">
      <c r="B50" s="3027">
        <v>47</v>
      </c>
      <c r="C50" s="2992">
        <v>1316</v>
      </c>
      <c r="D50" s="3004" t="s">
        <v>3210</v>
      </c>
      <c r="E50" s="2994">
        <v>33.369999999999997</v>
      </c>
      <c r="F50" s="2995">
        <v>150</v>
      </c>
      <c r="G50" s="3034">
        <f t="shared" si="1"/>
        <v>5005.5</v>
      </c>
      <c r="H50" s="2996">
        <v>43678</v>
      </c>
      <c r="I50" s="2996">
        <v>44043</v>
      </c>
      <c r="J50" s="3031"/>
      <c r="K50" s="3044">
        <f t="shared" si="0"/>
        <v>5</v>
      </c>
    </row>
    <row r="51" spans="2:11">
      <c r="B51" s="3027">
        <v>48</v>
      </c>
      <c r="C51" s="2992" t="s">
        <v>3211</v>
      </c>
      <c r="D51" s="3004" t="s">
        <v>3212</v>
      </c>
      <c r="E51" s="2994">
        <v>154.32</v>
      </c>
      <c r="F51" s="2995">
        <v>200</v>
      </c>
      <c r="G51" s="3034">
        <f t="shared" si="1"/>
        <v>30864</v>
      </c>
      <c r="H51" s="2996">
        <v>43191</v>
      </c>
      <c r="I51" s="2996">
        <v>43921</v>
      </c>
      <c r="J51" s="3036"/>
      <c r="K51" s="3044">
        <f t="shared" si="0"/>
        <v>6.666666666666667</v>
      </c>
    </row>
    <row r="52" spans="2:11">
      <c r="B52" s="3027">
        <v>49</v>
      </c>
      <c r="C52" s="3005" t="s">
        <v>3213</v>
      </c>
      <c r="D52" s="3004" t="s">
        <v>3214</v>
      </c>
      <c r="E52" s="2994">
        <v>100.5</v>
      </c>
      <c r="F52" s="2995">
        <v>195</v>
      </c>
      <c r="G52" s="3034">
        <f t="shared" si="1"/>
        <v>19597.5</v>
      </c>
      <c r="H52" s="2996">
        <v>43281</v>
      </c>
      <c r="I52" s="3003">
        <v>44376</v>
      </c>
      <c r="J52" s="3031"/>
      <c r="K52" s="3044">
        <f t="shared" si="0"/>
        <v>6.5</v>
      </c>
    </row>
    <row r="53" spans="2:11">
      <c r="B53" s="3027">
        <v>50</v>
      </c>
      <c r="C53" s="3005" t="s">
        <v>3215</v>
      </c>
      <c r="D53" s="3004" t="s">
        <v>3216</v>
      </c>
      <c r="E53" s="2994">
        <v>60</v>
      </c>
      <c r="F53" s="2995">
        <v>195</v>
      </c>
      <c r="G53" s="3034">
        <f t="shared" si="1"/>
        <v>11700</v>
      </c>
      <c r="H53" s="2996">
        <v>43281</v>
      </c>
      <c r="I53" s="3003">
        <v>44376</v>
      </c>
      <c r="J53" s="3036"/>
      <c r="K53" s="3044">
        <f t="shared" si="0"/>
        <v>6.5</v>
      </c>
    </row>
    <row r="54" spans="2:11">
      <c r="B54" s="3027">
        <v>51</v>
      </c>
      <c r="C54" s="2992">
        <v>1321</v>
      </c>
      <c r="D54" s="3004" t="s">
        <v>3217</v>
      </c>
      <c r="E54" s="2994">
        <v>69.260000000000005</v>
      </c>
      <c r="F54" s="2995">
        <v>200</v>
      </c>
      <c r="G54" s="3034">
        <f t="shared" si="1"/>
        <v>13852</v>
      </c>
      <c r="H54" s="3003">
        <v>43651</v>
      </c>
      <c r="I54" s="2996">
        <v>44381</v>
      </c>
      <c r="J54" s="3031"/>
      <c r="K54" s="3044">
        <f t="shared" si="0"/>
        <v>6.6666666666666661</v>
      </c>
    </row>
    <row r="55" spans="2:11">
      <c r="B55" s="3027">
        <v>52</v>
      </c>
      <c r="C55" s="2992">
        <v>1322</v>
      </c>
      <c r="D55" s="2993" t="s">
        <v>3218</v>
      </c>
      <c r="E55" s="2994">
        <v>71.64</v>
      </c>
      <c r="F55" s="2995">
        <v>185</v>
      </c>
      <c r="G55" s="3034">
        <f t="shared" si="1"/>
        <v>13253.4</v>
      </c>
      <c r="H55" s="2996">
        <v>43388</v>
      </c>
      <c r="I55" s="3003">
        <v>44118</v>
      </c>
      <c r="J55" s="3036"/>
      <c r="K55" s="3044">
        <f t="shared" si="0"/>
        <v>6.1666666666666661</v>
      </c>
    </row>
    <row r="56" spans="2:11">
      <c r="B56" s="3027">
        <v>53</v>
      </c>
      <c r="C56" s="3005">
        <v>1323</v>
      </c>
      <c r="D56" s="3004" t="s">
        <v>3219</v>
      </c>
      <c r="E56" s="2994">
        <v>78.260000000000005</v>
      </c>
      <c r="F56" s="2995">
        <v>185</v>
      </c>
      <c r="G56" s="3034">
        <f t="shared" si="1"/>
        <v>14478.1</v>
      </c>
      <c r="H56" s="3003">
        <v>43571</v>
      </c>
      <c r="I56" s="2996">
        <v>44301</v>
      </c>
      <c r="J56" s="3036"/>
      <c r="K56" s="3044">
        <f t="shared" si="0"/>
        <v>6.1666666666666661</v>
      </c>
    </row>
    <row r="57" spans="2:11">
      <c r="B57" s="3027">
        <v>54</v>
      </c>
      <c r="C57" s="3013">
        <v>1325</v>
      </c>
      <c r="D57" s="3004" t="s">
        <v>3220</v>
      </c>
      <c r="E57" s="2994">
        <v>72.209999999999994</v>
      </c>
      <c r="F57" s="2995">
        <v>195</v>
      </c>
      <c r="G57" s="3034">
        <f t="shared" si="1"/>
        <v>14080.95</v>
      </c>
      <c r="H57" s="3003">
        <v>43259</v>
      </c>
      <c r="I57" s="2996">
        <v>43989</v>
      </c>
      <c r="J57" s="3031"/>
      <c r="K57" s="3044">
        <f t="shared" si="0"/>
        <v>6.5000000000000009</v>
      </c>
    </row>
    <row r="58" spans="2:11">
      <c r="B58" s="3027">
        <v>55</v>
      </c>
      <c r="C58" s="3013">
        <v>1326</v>
      </c>
      <c r="D58" s="2993" t="s">
        <v>3221</v>
      </c>
      <c r="E58" s="2994">
        <v>73.790000000000006</v>
      </c>
      <c r="F58" s="2995">
        <v>185</v>
      </c>
      <c r="G58" s="3034">
        <f t="shared" si="1"/>
        <v>13651.15</v>
      </c>
      <c r="H58" s="3003">
        <v>43165</v>
      </c>
      <c r="I58" s="2996">
        <v>43895</v>
      </c>
      <c r="J58" s="3036"/>
      <c r="K58" s="3044">
        <f t="shared" si="0"/>
        <v>6.1666666666666661</v>
      </c>
    </row>
    <row r="59" spans="2:11">
      <c r="B59" s="3027">
        <v>56</v>
      </c>
      <c r="C59" s="3005" t="s">
        <v>3222</v>
      </c>
      <c r="D59" s="3004" t="s">
        <v>3223</v>
      </c>
      <c r="E59" s="2994">
        <v>103.83</v>
      </c>
      <c r="F59" s="2995">
        <v>180</v>
      </c>
      <c r="G59" s="3034">
        <f t="shared" si="1"/>
        <v>18689.400000000001</v>
      </c>
      <c r="H59" s="3003">
        <v>43252</v>
      </c>
      <c r="I59" s="2996">
        <v>43982</v>
      </c>
      <c r="J59" s="3031"/>
      <c r="K59" s="3044">
        <f t="shared" si="0"/>
        <v>6</v>
      </c>
    </row>
    <row r="60" spans="2:11">
      <c r="B60" s="3027">
        <v>57</v>
      </c>
      <c r="C60" s="3005" t="s">
        <v>3224</v>
      </c>
      <c r="D60" s="2993" t="s">
        <v>3225</v>
      </c>
      <c r="E60" s="2994">
        <v>100</v>
      </c>
      <c r="F60" s="2995">
        <v>190</v>
      </c>
      <c r="G60" s="3034">
        <f t="shared" si="1"/>
        <v>19000</v>
      </c>
      <c r="H60" s="3003">
        <v>43647</v>
      </c>
      <c r="I60" s="2996">
        <v>44742</v>
      </c>
      <c r="J60" s="3031"/>
      <c r="K60" s="3044">
        <f t="shared" si="0"/>
        <v>6.3333333333333339</v>
      </c>
    </row>
    <row r="61" spans="2:11">
      <c r="B61" s="3027">
        <v>58</v>
      </c>
      <c r="C61" s="3005" t="s">
        <v>3226</v>
      </c>
      <c r="D61" s="2993" t="s">
        <v>3227</v>
      </c>
      <c r="E61" s="2994">
        <v>234.31</v>
      </c>
      <c r="F61" s="2995">
        <v>190</v>
      </c>
      <c r="G61" s="3034">
        <f t="shared" si="1"/>
        <v>44518.9</v>
      </c>
      <c r="H61" s="3003">
        <v>43647</v>
      </c>
      <c r="I61" s="2996">
        <v>44742</v>
      </c>
      <c r="J61" s="3036"/>
      <c r="K61" s="3044">
        <f t="shared" si="0"/>
        <v>6.333333333333333</v>
      </c>
    </row>
    <row r="62" spans="2:11">
      <c r="B62" s="3027">
        <v>59</v>
      </c>
      <c r="C62" s="3013" t="s">
        <v>3228</v>
      </c>
      <c r="D62" s="3004" t="s">
        <v>3161</v>
      </c>
      <c r="E62" s="2994">
        <v>205.5</v>
      </c>
      <c r="F62" s="2995">
        <v>185</v>
      </c>
      <c r="G62" s="3034">
        <f t="shared" si="1"/>
        <v>38017.5</v>
      </c>
      <c r="H62" s="2996">
        <v>42948</v>
      </c>
      <c r="I62" s="2996">
        <v>44043</v>
      </c>
      <c r="J62" s="3036"/>
      <c r="K62" s="3044">
        <f t="shared" si="0"/>
        <v>6.166666666666667</v>
      </c>
    </row>
    <row r="63" spans="2:11">
      <c r="B63" s="3027">
        <v>60</v>
      </c>
      <c r="C63" s="3013" t="s">
        <v>3229</v>
      </c>
      <c r="D63" s="2993" t="s">
        <v>3230</v>
      </c>
      <c r="E63" s="2994">
        <v>108.56</v>
      </c>
      <c r="F63" s="2995">
        <v>200</v>
      </c>
      <c r="G63" s="3034">
        <f t="shared" si="1"/>
        <v>21712</v>
      </c>
      <c r="H63" s="2996">
        <v>43296</v>
      </c>
      <c r="I63" s="2996">
        <v>44391</v>
      </c>
      <c r="J63" s="3031"/>
      <c r="K63" s="3044">
        <f t="shared" si="0"/>
        <v>6.666666666666667</v>
      </c>
    </row>
    <row r="64" spans="2:11">
      <c r="B64" s="3027">
        <v>61</v>
      </c>
      <c r="C64" s="3013" t="s">
        <v>3231</v>
      </c>
      <c r="D64" s="3004" t="s">
        <v>3232</v>
      </c>
      <c r="E64" s="2994">
        <v>163.06</v>
      </c>
      <c r="F64" s="2995">
        <v>190</v>
      </c>
      <c r="G64" s="3034">
        <f t="shared" si="1"/>
        <v>30981.4</v>
      </c>
      <c r="H64" s="2996">
        <v>43215</v>
      </c>
      <c r="I64" s="2996">
        <v>43945</v>
      </c>
      <c r="J64" s="3036"/>
      <c r="K64" s="3044">
        <f t="shared" si="0"/>
        <v>6.333333333333333</v>
      </c>
    </row>
    <row r="65" spans="2:11">
      <c r="B65" s="3027">
        <v>62</v>
      </c>
      <c r="C65" s="3013" t="s">
        <v>3233</v>
      </c>
      <c r="D65" s="2993" t="s">
        <v>3234</v>
      </c>
      <c r="E65" s="2994">
        <v>199.84</v>
      </c>
      <c r="F65" s="2995">
        <v>190</v>
      </c>
      <c r="G65" s="3034">
        <f t="shared" si="1"/>
        <v>37969.599999999999</v>
      </c>
      <c r="H65" s="2996">
        <v>43385</v>
      </c>
      <c r="I65" s="2996">
        <v>44115</v>
      </c>
      <c r="J65" s="3031"/>
      <c r="K65" s="3044">
        <f t="shared" si="0"/>
        <v>6.3333333333333321</v>
      </c>
    </row>
    <row r="66" spans="2:11">
      <c r="B66" s="3027">
        <v>63</v>
      </c>
      <c r="C66" s="3005" t="s">
        <v>3235</v>
      </c>
      <c r="D66" s="2993" t="s">
        <v>3236</v>
      </c>
      <c r="E66" s="2994">
        <v>626.19000000000005</v>
      </c>
      <c r="F66" s="2995">
        <v>195</v>
      </c>
      <c r="G66" s="3034">
        <f t="shared" si="1"/>
        <v>122107.05</v>
      </c>
      <c r="H66" s="2996">
        <v>43383</v>
      </c>
      <c r="I66" s="2996">
        <v>44478</v>
      </c>
      <c r="J66" s="3036"/>
      <c r="K66" s="3044">
        <f t="shared" si="0"/>
        <v>6.5</v>
      </c>
    </row>
    <row r="67" spans="2:11">
      <c r="B67" s="3027">
        <v>64</v>
      </c>
      <c r="C67" s="2992" t="s">
        <v>3237</v>
      </c>
      <c r="D67" s="3004" t="s">
        <v>3161</v>
      </c>
      <c r="E67" s="2994">
        <v>498.57</v>
      </c>
      <c r="F67" s="2995">
        <v>185</v>
      </c>
      <c r="G67" s="3034">
        <f t="shared" si="1"/>
        <v>92235.45</v>
      </c>
      <c r="H67" s="2996">
        <v>42948</v>
      </c>
      <c r="I67" s="2996">
        <v>44043</v>
      </c>
      <c r="J67" s="3036"/>
      <c r="K67" s="3044">
        <f t="shared" si="0"/>
        <v>6.1666666666666661</v>
      </c>
    </row>
    <row r="68" spans="2:11">
      <c r="B68" s="3027">
        <v>65</v>
      </c>
      <c r="C68" s="2992" t="s">
        <v>3238</v>
      </c>
      <c r="D68" s="2993" t="s">
        <v>3239</v>
      </c>
      <c r="E68" s="2994">
        <v>190.89</v>
      </c>
      <c r="F68" s="2995">
        <v>180</v>
      </c>
      <c r="G68" s="3034">
        <f t="shared" si="1"/>
        <v>34360.199999999997</v>
      </c>
      <c r="H68" s="2996">
        <v>42979</v>
      </c>
      <c r="I68" s="2996">
        <v>44074</v>
      </c>
      <c r="J68" s="3031"/>
      <c r="K68" s="3044">
        <f t="shared" si="0"/>
        <v>6</v>
      </c>
    </row>
    <row r="69" spans="2:11">
      <c r="B69" s="3027">
        <v>66</v>
      </c>
      <c r="C69" s="3005" t="s">
        <v>3240</v>
      </c>
      <c r="D69" s="2993" t="s">
        <v>3241</v>
      </c>
      <c r="E69" s="2994">
        <v>110</v>
      </c>
      <c r="F69" s="2995">
        <v>185</v>
      </c>
      <c r="G69" s="3034">
        <f t="shared" si="1"/>
        <v>20350</v>
      </c>
      <c r="H69" s="2996">
        <v>43334</v>
      </c>
      <c r="I69" s="2996">
        <v>44074</v>
      </c>
      <c r="J69" s="3036"/>
      <c r="K69" s="3044">
        <f t="shared" ref="K69:K72" si="2">G69/30/E69</f>
        <v>6.166666666666667</v>
      </c>
    </row>
    <row r="70" spans="2:11">
      <c r="B70" s="3027">
        <v>67</v>
      </c>
      <c r="C70" s="3013" t="s">
        <v>3242</v>
      </c>
      <c r="D70" s="2993" t="s">
        <v>3243</v>
      </c>
      <c r="E70" s="2994">
        <v>14.8</v>
      </c>
      <c r="F70" s="2995">
        <v>100</v>
      </c>
      <c r="G70" s="3034">
        <f t="shared" ref="G70:G71" si="3">ROUND(E70*F70,2)</f>
        <v>1480</v>
      </c>
      <c r="H70" s="2996">
        <v>43429</v>
      </c>
      <c r="I70" s="2996">
        <v>43793</v>
      </c>
      <c r="J70" s="3031"/>
      <c r="K70" s="3044">
        <f t="shared" si="2"/>
        <v>3.3333333333333335</v>
      </c>
    </row>
    <row r="71" spans="2:11">
      <c r="B71" s="3027">
        <v>68</v>
      </c>
      <c r="C71" s="3013" t="s">
        <v>3244</v>
      </c>
      <c r="D71" s="3004" t="s">
        <v>3153</v>
      </c>
      <c r="E71" s="2994">
        <v>16.309999999999999</v>
      </c>
      <c r="F71" s="2995">
        <v>100</v>
      </c>
      <c r="G71" s="3034">
        <f t="shared" si="3"/>
        <v>1631</v>
      </c>
      <c r="H71" s="2996">
        <v>43323</v>
      </c>
      <c r="I71" s="2996">
        <v>44606</v>
      </c>
      <c r="J71" s="3031"/>
      <c r="K71" s="3044">
        <f t="shared" si="2"/>
        <v>3.3333333333333335</v>
      </c>
    </row>
    <row r="72" spans="2:11">
      <c r="B72" s="3038">
        <v>69</v>
      </c>
      <c r="C72" s="3018" t="s">
        <v>3245</v>
      </c>
      <c r="D72" s="2998" t="s">
        <v>3246</v>
      </c>
      <c r="E72" s="2999">
        <v>1776.4</v>
      </c>
      <c r="F72" s="3000"/>
      <c r="G72" s="3039">
        <v>37290.879999999997</v>
      </c>
      <c r="H72" s="3001">
        <v>43466</v>
      </c>
      <c r="I72" s="3001">
        <v>43830</v>
      </c>
      <c r="J72" s="3040" t="s">
        <v>3247</v>
      </c>
      <c r="K72" s="3044">
        <f t="shared" si="2"/>
        <v>0.69974630338512334</v>
      </c>
    </row>
    <row r="73" spans="2:11">
      <c r="B73" s="3041"/>
      <c r="C73" s="3019"/>
      <c r="D73" s="3020"/>
      <c r="E73" s="3021">
        <f>SUM(E4:E72)</f>
        <v>15687.929999999995</v>
      </c>
      <c r="F73" s="3022"/>
      <c r="G73" s="3042">
        <f>SUM(G4:G72)</f>
        <v>2598180.6</v>
      </c>
      <c r="H73" s="3023"/>
      <c r="I73" s="3023"/>
      <c r="J73" s="3043"/>
    </row>
  </sheetData>
  <mergeCells count="1">
    <mergeCell ref="B2:D2"/>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tabSelected="1" topLeftCell="C1" workbookViewId="0">
      <selection activeCell="G17" sqref="G17"/>
    </sheetView>
  </sheetViews>
  <sheetFormatPr defaultRowHeight="13.5"/>
  <cols>
    <col min="2" max="2" width="32.875" customWidth="1"/>
    <col min="5" max="5" width="11" customWidth="1"/>
    <col min="6" max="6" width="12.75" customWidth="1"/>
    <col min="7" max="7" width="11.25" customWidth="1"/>
    <col min="8" max="8" width="12.375" customWidth="1"/>
    <col min="9" max="9" width="13.25" customWidth="1"/>
    <col min="10" max="10" width="16.375" customWidth="1"/>
  </cols>
  <sheetData>
    <row r="2" spans="2:10" ht="14.25" thickBot="1"/>
    <row r="3" spans="2:10" ht="25.5" customHeight="1" thickTop="1">
      <c r="B3" s="3444" t="s">
        <v>3406</v>
      </c>
      <c r="C3" s="3444" t="s">
        <v>3294</v>
      </c>
      <c r="D3" s="3444" t="s">
        <v>3407</v>
      </c>
      <c r="E3" s="3442" t="s">
        <v>3408</v>
      </c>
      <c r="F3" s="3443"/>
      <c r="G3" s="3442" t="s">
        <v>3409</v>
      </c>
      <c r="H3" s="3443"/>
      <c r="I3" s="3442" t="s">
        <v>3410</v>
      </c>
      <c r="J3" s="3443"/>
    </row>
    <row r="4" spans="2:10">
      <c r="B4" s="3445"/>
      <c r="C4" s="3445"/>
      <c r="D4" s="3445"/>
      <c r="E4" s="3076" t="s">
        <v>3411</v>
      </c>
      <c r="F4" s="3076" t="s">
        <v>3412</v>
      </c>
      <c r="G4" s="3076" t="s">
        <v>3413</v>
      </c>
      <c r="H4" s="3076" t="s">
        <v>3412</v>
      </c>
      <c r="I4" s="3076" t="s">
        <v>3413</v>
      </c>
      <c r="J4" s="3076" t="s">
        <v>3412</v>
      </c>
    </row>
    <row r="5" spans="2:10" ht="45" customHeight="1">
      <c r="B5" s="3077" t="s">
        <v>3414</v>
      </c>
      <c r="C5" s="3078">
        <f>'数据-汇总表'!F20+'数据-汇总表'!F21</f>
        <v>5620.93</v>
      </c>
      <c r="D5" s="3078">
        <f>面积表!G28+面积表!G29+面积表!G30</f>
        <v>576.56000000000006</v>
      </c>
      <c r="E5" s="3078">
        <f ca="1">I5-G5</f>
        <v>14715</v>
      </c>
      <c r="F5" s="3078">
        <f ca="1">ROUND(E5/C5*10000,0)</f>
        <v>26179</v>
      </c>
      <c r="G5" s="3078">
        <f ca="1">ROUND(I5*'收益法-商业'!C80,0)</f>
        <v>1969</v>
      </c>
      <c r="H5" s="3078">
        <f ca="1">ROUND(G5/C5*10000,0)</f>
        <v>3503</v>
      </c>
      <c r="I5" s="3078">
        <f ca="1">'典型户型修正-商业'!B20</f>
        <v>16684</v>
      </c>
      <c r="J5" s="3078">
        <f ca="1">ROUND(I5/C5*10000,0)</f>
        <v>29682</v>
      </c>
    </row>
    <row r="6" spans="2:10" ht="45" customHeight="1">
      <c r="B6" s="3077" t="s">
        <v>3415</v>
      </c>
      <c r="C6" s="3078">
        <f>'数据-汇总表'!G23+'数据-汇总表'!F24+'数据-汇总表'!F19</f>
        <v>15496.41</v>
      </c>
      <c r="D6" s="3078">
        <f>SUM(面积表!G3:G26)</f>
        <v>1585.8200000000002</v>
      </c>
      <c r="E6" s="3078">
        <f t="shared" ref="E6:E7" ca="1" si="0">I6-G6</f>
        <v>38462</v>
      </c>
      <c r="F6" s="3078">
        <f t="shared" ref="F6:F7" ca="1" si="1">ROUND(E6/C6*10000,0)</f>
        <v>24820</v>
      </c>
      <c r="G6" s="3078">
        <f ca="1">ROUND(I6*'收益法-办公'!C80,0)</f>
        <v>6948</v>
      </c>
      <c r="H6" s="3078">
        <f ca="1">ROUND(G6/C6*10000,0)</f>
        <v>4484</v>
      </c>
      <c r="I6" s="3078">
        <f ca="1">'典型户型修正-办公'!B20</f>
        <v>45410</v>
      </c>
      <c r="J6" s="3078">
        <f t="shared" ref="J6" ca="1" si="2">ROUND(I6/C6*10000,0)</f>
        <v>29304</v>
      </c>
    </row>
    <row r="7" spans="2:10" ht="45" customHeight="1">
      <c r="B7" s="3077" t="s">
        <v>3416</v>
      </c>
      <c r="C7" s="3078">
        <f>'数据-汇总表'!G22</f>
        <v>165.07999999999998</v>
      </c>
      <c r="D7" s="3078">
        <f>SUM(面积表!G32:G41)</f>
        <v>16.91</v>
      </c>
      <c r="E7" s="3078">
        <f t="shared" ca="1" si="0"/>
        <v>91</v>
      </c>
      <c r="F7" s="3078">
        <f t="shared" ca="1" si="1"/>
        <v>5512</v>
      </c>
      <c r="G7" s="3078">
        <f ca="1">ROUND(I7*'收益法-车位'!C80,0)</f>
        <v>92</v>
      </c>
      <c r="H7" s="3078">
        <f t="shared" ref="H6:H7" ca="1" si="3">ROUND(G7/C7*10000,0)</f>
        <v>5573</v>
      </c>
      <c r="I7" s="3078">
        <f ca="1">'结果表-车位'!H118</f>
        <v>183</v>
      </c>
      <c r="J7" s="3078">
        <f ca="1">ROUND(I7/C7*10000,0)</f>
        <v>11086</v>
      </c>
    </row>
    <row r="8" spans="2:10">
      <c r="B8" s="3077" t="s">
        <v>37</v>
      </c>
      <c r="C8" s="3078">
        <f>C5+C6+C7</f>
        <v>21282.420000000002</v>
      </c>
      <c r="D8" s="3078">
        <f>D5+D6+D7</f>
        <v>2179.29</v>
      </c>
      <c r="E8" s="3417">
        <f ca="1">E5+E6+E7</f>
        <v>53268</v>
      </c>
      <c r="F8" s="3418"/>
      <c r="G8" s="3417">
        <f ca="1">G5+G6+G7</f>
        <v>9009</v>
      </c>
      <c r="H8" s="3418"/>
      <c r="I8" s="3417">
        <f ca="1">I5+I6+I7</f>
        <v>62277</v>
      </c>
      <c r="J8" s="3418"/>
    </row>
    <row r="9" spans="2:10" ht="25.5" customHeight="1">
      <c r="B9" s="3419" t="s">
        <v>3417</v>
      </c>
      <c r="C9" s="3420"/>
      <c r="D9" s="3421"/>
      <c r="E9" s="3437">
        <f ca="1">E8*10000</f>
        <v>532680000</v>
      </c>
      <c r="F9" s="3438"/>
      <c r="G9" s="3437">
        <f ca="1">G8*10000</f>
        <v>90090000</v>
      </c>
      <c r="H9" s="3438"/>
      <c r="I9" s="3437">
        <f ca="1">I8*10000</f>
        <v>622770000</v>
      </c>
      <c r="J9" s="3438"/>
    </row>
    <row r="10" spans="2:10">
      <c r="B10" s="3425" t="s">
        <v>3418</v>
      </c>
      <c r="C10" s="3426"/>
      <c r="D10" s="3427"/>
      <c r="E10" s="3439">
        <v>0</v>
      </c>
      <c r="F10" s="3440"/>
      <c r="G10" s="3440"/>
      <c r="H10" s="3440"/>
      <c r="I10" s="3440"/>
      <c r="J10" s="3441"/>
    </row>
    <row r="11" spans="2:10">
      <c r="B11" s="3419" t="s">
        <v>3417</v>
      </c>
      <c r="C11" s="3420"/>
      <c r="D11" s="3421"/>
      <c r="E11" s="3422" t="s">
        <v>3419</v>
      </c>
      <c r="F11" s="3423"/>
      <c r="G11" s="3423"/>
      <c r="H11" s="3423"/>
      <c r="I11" s="3423"/>
      <c r="J11" s="3424"/>
    </row>
    <row r="12" spans="2:10" ht="25.5" customHeight="1">
      <c r="B12" s="3425" t="s">
        <v>3420</v>
      </c>
      <c r="C12" s="3426"/>
      <c r="D12" s="3427"/>
      <c r="E12" s="3428">
        <v>60859</v>
      </c>
      <c r="F12" s="3429"/>
      <c r="G12" s="3429"/>
      <c r="H12" s="3429"/>
      <c r="I12" s="3429"/>
      <c r="J12" s="3430"/>
    </row>
    <row r="13" spans="2:10" ht="14.25" thickBot="1">
      <c r="B13" s="3431" t="s">
        <v>3417</v>
      </c>
      <c r="C13" s="3432"/>
      <c r="D13" s="3433"/>
      <c r="E13" s="3434">
        <f ca="1">I9</f>
        <v>622770000</v>
      </c>
      <c r="F13" s="3435"/>
      <c r="G13" s="3435"/>
      <c r="H13" s="3435"/>
      <c r="I13" s="3435"/>
      <c r="J13" s="3436"/>
    </row>
    <row r="14" spans="2:10" ht="14.25" thickTop="1"/>
  </sheetData>
  <mergeCells count="21">
    <mergeCell ref="I3:J3"/>
    <mergeCell ref="B3:B4"/>
    <mergeCell ref="C3:C4"/>
    <mergeCell ref="D3:D4"/>
    <mergeCell ref="E3:F3"/>
    <mergeCell ref="G3:H3"/>
    <mergeCell ref="B12:D12"/>
    <mergeCell ref="E12:J12"/>
    <mergeCell ref="B13:D13"/>
    <mergeCell ref="E13:J13"/>
    <mergeCell ref="B9:D9"/>
    <mergeCell ref="E9:F9"/>
    <mergeCell ref="G9:H9"/>
    <mergeCell ref="I9:J9"/>
    <mergeCell ref="B10:D10"/>
    <mergeCell ref="E10:J10"/>
    <mergeCell ref="E8:F8"/>
    <mergeCell ref="G8:H8"/>
    <mergeCell ref="I8:J8"/>
    <mergeCell ref="B11:D11"/>
    <mergeCell ref="E11:J1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102" t="s">
        <v>1653</v>
      </c>
      <c r="B1" s="3102"/>
      <c r="C1" s="3102"/>
      <c r="D1" s="3102"/>
    </row>
    <row r="2" spans="1:4" ht="18">
      <c r="A2" s="3103" t="s">
        <v>1637</v>
      </c>
      <c r="B2" s="3103"/>
      <c r="C2" s="3103"/>
      <c r="D2" s="3103"/>
    </row>
    <row r="3" spans="1:4" ht="18.75">
      <c r="A3" s="1971" t="s">
        <v>1638</v>
      </c>
      <c r="B3" s="1971" t="s">
        <v>1639</v>
      </c>
      <c r="C3" s="1971" t="s">
        <v>1640</v>
      </c>
      <c r="D3" s="1971" t="s">
        <v>1641</v>
      </c>
    </row>
    <row r="4" spans="1:4" ht="56.25" customHeight="1">
      <c r="A4" s="1972" t="str">
        <f>项目基本情况!B4</f>
        <v>郑燚</v>
      </c>
      <c r="B4" s="1973">
        <f ca="1">项目基本情况!C4</f>
        <v>1120070131</v>
      </c>
      <c r="C4" s="1974"/>
      <c r="D4" s="1975" t="s">
        <v>1642</v>
      </c>
    </row>
    <row r="5" spans="1:4" ht="56.25" customHeight="1">
      <c r="A5" s="1972" t="str">
        <f>项目基本情况!D4</f>
        <v>崔锴</v>
      </c>
      <c r="B5" s="1973">
        <f ca="1">项目基本情况!E4</f>
        <v>1120100036</v>
      </c>
      <c r="C5" s="1976"/>
      <c r="D5" s="1975" t="s">
        <v>1642</v>
      </c>
    </row>
    <row r="6" spans="1:4" ht="18">
      <c r="A6" s="3103" t="s">
        <v>1643</v>
      </c>
      <c r="B6" s="3103"/>
      <c r="C6" s="3103"/>
      <c r="D6" s="3103"/>
    </row>
    <row r="7" spans="1:4" ht="18.75">
      <c r="A7" s="1971" t="s">
        <v>1638</v>
      </c>
      <c r="B7" s="1973" t="s">
        <v>1644</v>
      </c>
      <c r="C7" s="1971" t="s">
        <v>1640</v>
      </c>
      <c r="D7" s="1971" t="s">
        <v>1641</v>
      </c>
    </row>
    <row r="8" spans="1:4" ht="56.25" customHeight="1">
      <c r="A8" s="1977" t="s">
        <v>865</v>
      </c>
      <c r="B8" s="1977" t="s">
        <v>1</v>
      </c>
      <c r="C8" s="1974"/>
      <c r="D8" s="1975" t="s">
        <v>1642</v>
      </c>
    </row>
    <row r="9" spans="1:4">
      <c r="A9" s="728"/>
      <c r="B9" s="728"/>
      <c r="C9" s="728"/>
      <c r="D9" s="728"/>
    </row>
    <row r="10" spans="1:4" ht="18.75">
      <c r="A10" s="1978" t="s">
        <v>1645</v>
      </c>
      <c r="B10" s="728"/>
      <c r="C10" s="728"/>
      <c r="D10" s="728"/>
    </row>
    <row r="11" spans="1:4" ht="30" customHeight="1">
      <c r="A11" s="3104" t="s">
        <v>1646</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5" t="str">
        <f>IF(项目基本情况!B8="抵押","4.本次评估估价师所知悉的法定优先受偿款情况说明如下：","——")</f>
        <v>4.本次评估估价师所知悉的法定优先受偿款情况说明如下：</v>
      </c>
      <c r="B14" s="3106"/>
      <c r="C14" s="3106"/>
      <c r="D14" s="3106"/>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8" t="s">
        <v>1647</v>
      </c>
      <c r="B16" s="3108"/>
      <c r="C16" s="3108"/>
      <c r="D16" s="3108"/>
    </row>
    <row r="17" spans="1:4" ht="144" customHeight="1">
      <c r="A17" s="3108" t="s">
        <v>1648</v>
      </c>
      <c r="B17" s="3108"/>
      <c r="C17" s="3108"/>
      <c r="D17" s="3108"/>
    </row>
    <row r="18" spans="1:4" ht="15.75" customHeight="1">
      <c r="A18" s="3105" t="str">
        <f>IF(项目基本情况!B8="抵押",'结果表-办公'!K120,"——")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1649</v>
      </c>
      <c r="B22" s="3110"/>
      <c r="C22" s="3110"/>
      <c r="D22" s="3110"/>
    </row>
    <row r="23" spans="1:4">
      <c r="A23" s="1979"/>
      <c r="B23" s="1951"/>
      <c r="C23" s="1951"/>
      <c r="D23" s="1951"/>
    </row>
    <row r="24" spans="1:4">
      <c r="A24" s="1979"/>
      <c r="B24" s="1951"/>
      <c r="C24" s="1951"/>
      <c r="D24" s="1951"/>
    </row>
    <row r="25" spans="1:4" ht="18.75">
      <c r="A25" s="1980" t="s">
        <v>1650</v>
      </c>
    </row>
    <row r="26" spans="1:4" ht="18">
      <c r="A26" s="1949"/>
    </row>
    <row r="27" spans="1:4" ht="18.75">
      <c r="A27" s="1949" t="s">
        <v>1651</v>
      </c>
    </row>
    <row r="30" spans="1:4" ht="18.75">
      <c r="D30" s="1980" t="s">
        <v>1652</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3.5">
      <c r="A15" s="3116" t="s">
        <v>1660</v>
      </c>
      <c r="B15" s="3111" t="s">
        <v>136</v>
      </c>
      <c r="C15" s="3112"/>
    </row>
    <row r="16" spans="1:7" ht="13.5">
      <c r="A16" s="3117"/>
      <c r="B16" s="3111" t="s">
        <v>69</v>
      </c>
      <c r="C16" s="3112"/>
    </row>
    <row r="17" spans="1:3" ht="13.5">
      <c r="A17" s="3117"/>
      <c r="B17" s="3114" t="s">
        <v>1661</v>
      </c>
      <c r="C17" s="1994" t="s">
        <v>1660</v>
      </c>
    </row>
    <row r="18" spans="1:3" ht="13.5">
      <c r="A18" s="3117"/>
      <c r="B18" s="3114"/>
      <c r="C18" s="1994" t="s">
        <v>1662</v>
      </c>
    </row>
    <row r="19" spans="1:3" ht="13.5">
      <c r="A19" s="3117"/>
      <c r="B19" s="3114"/>
      <c r="C19" s="1994" t="s">
        <v>1663</v>
      </c>
    </row>
    <row r="20" spans="1:3" ht="13.5">
      <c r="A20" s="3118"/>
      <c r="B20" s="3113" t="s">
        <v>1664</v>
      </c>
      <c r="C20" s="3112"/>
    </row>
    <row r="21" spans="1:3" ht="13.5">
      <c r="A21" s="1995" t="s">
        <v>1665</v>
      </c>
      <c r="B21" s="1996"/>
      <c r="C21" s="1997"/>
    </row>
    <row r="22" spans="1:3" ht="13.5">
      <c r="A22" s="3115" t="s">
        <v>1666</v>
      </c>
      <c r="B22" s="3113" t="s">
        <v>1667</v>
      </c>
      <c r="C22" s="3112"/>
    </row>
    <row r="23" spans="1:3" ht="13.5">
      <c r="A23" s="3115"/>
      <c r="B23" s="3113" t="s">
        <v>1668</v>
      </c>
      <c r="C23" s="3112"/>
    </row>
    <row r="24" spans="1:3" ht="13.5">
      <c r="A24" s="3115"/>
      <c r="B24" s="3113" t="s">
        <v>1669</v>
      </c>
      <c r="C24" s="3112"/>
    </row>
    <row r="25" spans="1:3" ht="13.5">
      <c r="A25" s="3115"/>
      <c r="B25" s="3114" t="s">
        <v>1670</v>
      </c>
      <c r="C25" s="1994" t="s">
        <v>1671</v>
      </c>
    </row>
    <row r="26" spans="1:3" ht="13.5">
      <c r="A26" s="3115"/>
      <c r="B26" s="3114"/>
      <c r="C26" s="1994" t="s">
        <v>1672</v>
      </c>
    </row>
    <row r="27" spans="1:3" ht="13.5">
      <c r="A27" s="3115"/>
      <c r="B27" s="3114"/>
      <c r="C27" s="1994" t="s">
        <v>1673</v>
      </c>
    </row>
    <row r="28" spans="1:3" ht="13.5">
      <c r="A28" s="3115"/>
      <c r="B28" s="3114"/>
      <c r="C28" s="1994" t="s">
        <v>1674</v>
      </c>
    </row>
    <row r="29" spans="1:3" ht="13.5">
      <c r="A29" s="3115"/>
      <c r="B29" s="3114"/>
      <c r="C29" s="1994" t="s">
        <v>1675</v>
      </c>
    </row>
    <row r="30" spans="1:3" ht="13.5">
      <c r="A30" s="3115"/>
      <c r="B30" s="3114"/>
      <c r="C30" s="1994" t="s">
        <v>1676</v>
      </c>
    </row>
    <row r="31" spans="1:3" ht="13.5">
      <c r="A31" s="3115"/>
      <c r="B31" s="3114"/>
      <c r="C31" s="1994" t="s">
        <v>1677</v>
      </c>
    </row>
    <row r="32" spans="1:3" ht="13.5">
      <c r="A32" s="3115"/>
      <c r="B32" s="3114"/>
      <c r="C32" s="1994" t="s">
        <v>1678</v>
      </c>
    </row>
    <row r="33" spans="1:3" ht="13.5">
      <c r="A33" s="3115"/>
      <c r="B33" s="3114"/>
      <c r="C33" s="1994" t="s">
        <v>1679</v>
      </c>
    </row>
    <row r="34" spans="1:3">
      <c r="A34" s="1998" t="s">
        <v>76</v>
      </c>
    </row>
    <row r="37" spans="1:3">
      <c r="A37" s="1998" t="s">
        <v>1680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43803</v>
      </c>
      <c r="C2" s="1015" t="s">
        <v>825</v>
      </c>
      <c r="D2" s="1015"/>
    </row>
    <row r="3" spans="1:6" ht="24" customHeight="1">
      <c r="A3" s="1016" t="s">
        <v>826</v>
      </c>
      <c r="B3" s="1017" t="s">
        <v>827</v>
      </c>
      <c r="C3" s="2342" t="s">
        <v>828</v>
      </c>
      <c r="D3" s="2345" t="s">
        <v>829</v>
      </c>
      <c r="E3" s="1018" t="s">
        <v>830</v>
      </c>
      <c r="F3" s="1017" t="s">
        <v>828</v>
      </c>
    </row>
    <row r="4" spans="1:6" ht="24" customHeight="1">
      <c r="A4" s="1697" t="s">
        <v>831</v>
      </c>
      <c r="B4" s="1018">
        <f ca="1">IF(C4&lt;B2,"已过期",1119970066)</f>
        <v>1119970066</v>
      </c>
      <c r="C4" s="2343">
        <v>43849</v>
      </c>
      <c r="D4" s="2346" t="s">
        <v>831</v>
      </c>
      <c r="E4" s="1018">
        <f ca="1">IF(F4&lt;B2,"已过期",96010014)</f>
        <v>96010014</v>
      </c>
      <c r="F4" s="1026">
        <v>47118</v>
      </c>
    </row>
    <row r="5" spans="1:6" ht="24" customHeight="1">
      <c r="A5" s="1697" t="s">
        <v>832</v>
      </c>
      <c r="B5" s="1018">
        <f ca="1">IF(C5&lt;B2,"已过期",1119970074)</f>
        <v>1119970074</v>
      </c>
      <c r="C5" s="2343">
        <v>43849</v>
      </c>
      <c r="D5" s="2346" t="s">
        <v>832</v>
      </c>
      <c r="E5" s="1018">
        <f ca="1">IF(F5&lt;B2,"已过期",2002110027)</f>
        <v>2002110027</v>
      </c>
      <c r="F5" s="1026">
        <v>46752</v>
      </c>
    </row>
    <row r="6" spans="1:6" ht="24" customHeight="1">
      <c r="A6" s="1697" t="s">
        <v>833</v>
      </c>
      <c r="B6" s="1018">
        <f ca="1">IF(C6&lt;B2,"已过期",1119970111)</f>
        <v>1119970111</v>
      </c>
      <c r="C6" s="2343">
        <v>43849</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343">
        <v>43849</v>
      </c>
      <c r="D8" s="2346" t="s">
        <v>835</v>
      </c>
      <c r="E8" s="1018">
        <f ca="1">IF(F8&lt;B2,"已过期",2000110082)</f>
        <v>2000110082</v>
      </c>
      <c r="F8" s="1026">
        <v>46387</v>
      </c>
    </row>
    <row r="9" spans="1:6" ht="24" customHeight="1">
      <c r="A9" s="1697" t="s">
        <v>836</v>
      </c>
      <c r="B9" s="1018">
        <f ca="1">IF(C9&lt;B2,"已过期",1419970001)</f>
        <v>1419970001</v>
      </c>
      <c r="C9" s="2343">
        <v>43867</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4"/>
      <c r="D12" s="1697"/>
      <c r="E12" s="1018"/>
      <c r="F12" s="1026"/>
    </row>
    <row r="13" spans="1:6" ht="24" customHeight="1">
      <c r="A13" s="1697" t="s">
        <v>839</v>
      </c>
      <c r="B13" s="1018">
        <f ca="1">IF(C13&lt;B2,"已过期",1120070131)</f>
        <v>1120070131</v>
      </c>
      <c r="C13" s="2343">
        <v>43814</v>
      </c>
      <c r="D13" s="2346" t="s">
        <v>839</v>
      </c>
      <c r="E13" s="1018">
        <f ca="1">IF(F13&lt;B2,"已过期",2014110011)</f>
        <v>2014110011</v>
      </c>
      <c r="F13" s="1026">
        <v>49302</v>
      </c>
    </row>
    <row r="14" spans="1:6" ht="24" customHeight="1">
      <c r="A14" s="1697" t="s">
        <v>2995</v>
      </c>
      <c r="B14" s="1018">
        <f ca="1">IF(C14&lt;B2,"已过期",1120040230)</f>
        <v>1120040230</v>
      </c>
      <c r="C14" s="2343">
        <v>43835</v>
      </c>
      <c r="D14" s="2346" t="s">
        <v>2995</v>
      </c>
      <c r="E14" s="1018">
        <f ca="1">IF(F14&lt;B2,"已过期",98030020)</f>
        <v>98030020</v>
      </c>
      <c r="F14" s="1026">
        <v>47118</v>
      </c>
    </row>
    <row r="15" spans="1:6" ht="24" customHeight="1">
      <c r="A15" s="1698" t="s">
        <v>2996</v>
      </c>
      <c r="B15" s="1018">
        <f ca="1">IF(C15&lt;B2,"已过期",1120070085)</f>
        <v>1120070085</v>
      </c>
      <c r="C15" s="2343">
        <v>43814</v>
      </c>
      <c r="D15" s="2347" t="s">
        <v>2996</v>
      </c>
      <c r="E15" s="1018">
        <f ca="1">IF(F15&lt;B2,"已过期",2004110128)</f>
        <v>2004110128</v>
      </c>
      <c r="F15" s="1019">
        <v>47118</v>
      </c>
    </row>
    <row r="16" spans="1:6" ht="24" customHeight="1">
      <c r="A16" s="1697" t="s">
        <v>2997</v>
      </c>
      <c r="B16" s="1018">
        <f ca="1">IF(C16&lt;B2,"已过期",1120140022)</f>
        <v>1120140022</v>
      </c>
      <c r="C16" s="2924">
        <v>44029</v>
      </c>
      <c r="D16" s="2346" t="s">
        <v>2997</v>
      </c>
      <c r="E16" s="1018">
        <f ca="1">IF(F16&lt;B2,"已过期",2008110059)</f>
        <v>2008110059</v>
      </c>
      <c r="F16" s="1026">
        <v>47177</v>
      </c>
    </row>
    <row r="17" spans="1:7" ht="24" customHeight="1">
      <c r="A17" s="1697"/>
      <c r="B17" s="1018"/>
      <c r="C17" s="2343"/>
      <c r="D17" s="2346" t="s">
        <v>2998</v>
      </c>
      <c r="E17" s="1018">
        <f ca="1">IF(F17&lt;B2,"已过期",2014110076)</f>
        <v>2014110076</v>
      </c>
      <c r="F17" s="1026">
        <v>49302</v>
      </c>
    </row>
    <row r="18" spans="1:7" ht="24" customHeight="1">
      <c r="A18" s="1697" t="s">
        <v>3006</v>
      </c>
      <c r="B18" s="1018">
        <v>1120190079</v>
      </c>
      <c r="C18" s="2924">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4">
        <v>44339</v>
      </c>
      <c r="D22" s="2346" t="s">
        <v>841</v>
      </c>
      <c r="E22" s="1018">
        <f ca="1">IF(F22&lt;B2,"已过期",2000110137)</f>
        <v>2000110137</v>
      </c>
      <c r="F22" s="1026">
        <v>46387</v>
      </c>
    </row>
    <row r="23" spans="1:7" ht="24" customHeight="1">
      <c r="A23" s="1697"/>
      <c r="B23" s="1018"/>
      <c r="C23" s="2343"/>
      <c r="D23" s="2346"/>
      <c r="E23" s="1018"/>
      <c r="F23" s="1018"/>
    </row>
    <row r="24" spans="1:7" s="1020" customFormat="1" ht="24" customHeight="1">
      <c r="A24" s="1698" t="s">
        <v>1325</v>
      </c>
      <c r="B24" s="1698" t="s">
        <v>1325</v>
      </c>
      <c r="C24" s="2344" t="s">
        <v>1325</v>
      </c>
      <c r="D24" s="2347" t="s">
        <v>1325</v>
      </c>
      <c r="E24" s="1698" t="s">
        <v>1325</v>
      </c>
      <c r="F24" s="1698" t="s">
        <v>1325</v>
      </c>
    </row>
    <row r="25" spans="1:7" ht="24" customHeight="1">
      <c r="A25" s="3119" t="s">
        <v>842</v>
      </c>
      <c r="B25" s="3119"/>
      <c r="C25" s="3119"/>
      <c r="D25" s="3119"/>
      <c r="E25" s="3119"/>
      <c r="F25" s="3119"/>
      <c r="G25" s="3119"/>
    </row>
    <row r="26" spans="1:7" s="1021" customFormat="1" ht="24" customHeight="1">
      <c r="A26" s="3120" t="s">
        <v>843</v>
      </c>
      <c r="B26" s="3120"/>
      <c r="C26" s="3121"/>
      <c r="D26" s="3122" t="s">
        <v>844</v>
      </c>
      <c r="E26" s="3120"/>
      <c r="F26" s="3120"/>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3007</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46" priority="97" stopIfTrue="1" operator="lessThan">
      <formula>$B$2</formula>
    </cfRule>
  </conditionalFormatting>
  <conditionalFormatting sqref="C5">
    <cfRule type="expression" dxfId="245" priority="92">
      <formula>AND($C5-TODAY()&lt;30,TODAY()&lt;$C5)</formula>
    </cfRule>
  </conditionalFormatting>
  <conditionalFormatting sqref="C5 F5">
    <cfRule type="cellIs" dxfId="244" priority="93" stopIfTrue="1" operator="lessThan">
      <formula>$B$2</formula>
    </cfRule>
  </conditionalFormatting>
  <conditionalFormatting sqref="F6 F8 F10">
    <cfRule type="cellIs" dxfId="243" priority="91" stopIfTrue="1" operator="lessThan">
      <formula>$B$2</formula>
    </cfRule>
  </conditionalFormatting>
  <conditionalFormatting sqref="C4:C11 C13 C23 C17 C19:C21">
    <cfRule type="expression" dxfId="242" priority="89">
      <formula>AND($C4-TODAY()&lt;30,TODAY()&lt;$C4)</formula>
    </cfRule>
  </conditionalFormatting>
  <conditionalFormatting sqref="F7 F9 F11 C4:C11 C13 C23 C17 C19:C21">
    <cfRule type="cellIs" dxfId="241" priority="90" stopIfTrue="1" operator="lessThan">
      <formula>$B$2</formula>
    </cfRule>
  </conditionalFormatting>
  <conditionalFormatting sqref="C20">
    <cfRule type="expression" dxfId="240" priority="77">
      <formula>AND($C20-TODAY()&lt;30,TODAY()&lt;$C20)</formula>
    </cfRule>
  </conditionalFormatting>
  <conditionalFormatting sqref="C20">
    <cfRule type="cellIs" dxfId="239" priority="78" stopIfTrue="1" operator="lessThan">
      <formula>$B$2</formula>
    </cfRule>
  </conditionalFormatting>
  <conditionalFormatting sqref="C17">
    <cfRule type="expression" dxfId="238" priority="71">
      <formula>AND($C17-TODAY()&lt;30,TODAY()&lt;$C17)</formula>
    </cfRule>
  </conditionalFormatting>
  <conditionalFormatting sqref="C17">
    <cfRule type="cellIs" dxfId="237" priority="72" stopIfTrue="1" operator="lessThan">
      <formula>$B$2</formula>
    </cfRule>
  </conditionalFormatting>
  <conditionalFormatting sqref="C19">
    <cfRule type="expression" dxfId="236" priority="69">
      <formula>AND($C19-TODAY()&lt;30,TODAY()&lt;$C19)</formula>
    </cfRule>
  </conditionalFormatting>
  <conditionalFormatting sqref="C19">
    <cfRule type="cellIs" dxfId="235" priority="70" stopIfTrue="1" operator="lessThan">
      <formula>$B$2</formula>
    </cfRule>
  </conditionalFormatting>
  <conditionalFormatting sqref="C21">
    <cfRule type="expression" dxfId="234" priority="67">
      <formula>AND($C21-TODAY()&lt;30,TODAY()&lt;$C21)</formula>
    </cfRule>
  </conditionalFormatting>
  <conditionalFormatting sqref="C21">
    <cfRule type="cellIs" dxfId="233" priority="68" stopIfTrue="1" operator="lessThan">
      <formula>$B$2</formula>
    </cfRule>
  </conditionalFormatting>
  <conditionalFormatting sqref="C23">
    <cfRule type="expression" dxfId="232" priority="65">
      <formula>AND($C23-TODAY()&lt;30,TODAY()&lt;$C23)</formula>
    </cfRule>
  </conditionalFormatting>
  <conditionalFormatting sqref="C23">
    <cfRule type="cellIs" dxfId="231" priority="66" stopIfTrue="1" operator="lessThan">
      <formula>$B$2</formula>
    </cfRule>
  </conditionalFormatting>
  <conditionalFormatting sqref="F18">
    <cfRule type="cellIs" dxfId="230" priority="62" stopIfTrue="1" operator="lessThan">
      <formula>$B$2</formula>
    </cfRule>
  </conditionalFormatting>
  <conditionalFormatting sqref="F22">
    <cfRule type="cellIs" dxfId="229" priority="61" stopIfTrue="1" operator="lessThan">
      <formula>$B$2</formula>
    </cfRule>
  </conditionalFormatting>
  <conditionalFormatting sqref="F21">
    <cfRule type="cellIs" dxfId="228" priority="60" stopIfTrue="1" operator="lessThan">
      <formula>$B$2</formula>
    </cfRule>
  </conditionalFormatting>
  <conditionalFormatting sqref="B4:B11 E4:E11 B17 E18:E23 B13 E13 B19:B23">
    <cfRule type="cellIs" dxfId="227" priority="58" stopIfTrue="1" operator="equal">
      <formula>"已过期"</formula>
    </cfRule>
  </conditionalFormatting>
  <conditionalFormatting sqref="A24:F24">
    <cfRule type="cellIs" dxfId="226" priority="54" stopIfTrue="1" operator="equal">
      <formula>"已过期"</formula>
    </cfRule>
  </conditionalFormatting>
  <conditionalFormatting sqref="F28">
    <cfRule type="expression" dxfId="225" priority="52">
      <formula>AND($E28-TODAY()&lt;30,TODAY()&lt;$E28)</formula>
    </cfRule>
  </conditionalFormatting>
  <conditionalFormatting sqref="F28">
    <cfRule type="cellIs" dxfId="224" priority="53" stopIfTrue="1" operator="lessThan">
      <formula>$B$2</formula>
    </cfRule>
  </conditionalFormatting>
  <conditionalFormatting sqref="F29">
    <cfRule type="expression" dxfId="223" priority="48" stopIfTrue="1">
      <formula>AND($E29-TODAY()&lt;30,TODAY()&lt;$E29)</formula>
    </cfRule>
  </conditionalFormatting>
  <conditionalFormatting sqref="F29">
    <cfRule type="cellIs" dxfId="222" priority="49" stopIfTrue="1" operator="lessThan">
      <formula>$B$2</formula>
    </cfRule>
  </conditionalFormatting>
  <conditionalFormatting sqref="F13">
    <cfRule type="cellIs" dxfId="221" priority="41" stopIfTrue="1" operator="lessThan">
      <formula>$B$2</formula>
    </cfRule>
  </conditionalFormatting>
  <conditionalFormatting sqref="C12">
    <cfRule type="expression" dxfId="220" priority="39">
      <formula>AND($C12-TODAY()&lt;30,TODAY()&lt;$C12)</formula>
    </cfRule>
  </conditionalFormatting>
  <conditionalFormatting sqref="C12">
    <cfRule type="cellIs" dxfId="219" priority="40" stopIfTrue="1" operator="lessThan">
      <formula>$B$2</formula>
    </cfRule>
  </conditionalFormatting>
  <conditionalFormatting sqref="C12">
    <cfRule type="expression" dxfId="218" priority="37">
      <formula>AND($C12-TODAY()&lt;30,TODAY()&lt;$C12)</formula>
    </cfRule>
  </conditionalFormatting>
  <conditionalFormatting sqref="C12">
    <cfRule type="cellIs" dxfId="217" priority="38" stopIfTrue="1" operator="lessThan">
      <formula>$B$2</formula>
    </cfRule>
  </conditionalFormatting>
  <conditionalFormatting sqref="B12">
    <cfRule type="cellIs" dxfId="216" priority="36" stopIfTrue="1" operator="equal">
      <formula>"已过期"</formula>
    </cfRule>
  </conditionalFormatting>
  <conditionalFormatting sqref="E12">
    <cfRule type="cellIs" dxfId="215" priority="35" stopIfTrue="1" operator="equal">
      <formula>"已过期"</formula>
    </cfRule>
  </conditionalFormatting>
  <conditionalFormatting sqref="F12">
    <cfRule type="cellIs" dxfId="214" priority="34" stopIfTrue="1" operator="lessThan">
      <formula>$B$2</formula>
    </cfRule>
  </conditionalFormatting>
  <conditionalFormatting sqref="C22">
    <cfRule type="expression" dxfId="213" priority="32">
      <formula>AND($C22-TODAY()&lt;30,TODAY()&lt;$C22)</formula>
    </cfRule>
  </conditionalFormatting>
  <conditionalFormatting sqref="C22">
    <cfRule type="cellIs" dxfId="212" priority="33" stopIfTrue="1" operator="lessThan">
      <formula>$B$2</formula>
    </cfRule>
  </conditionalFormatting>
  <conditionalFormatting sqref="C22">
    <cfRule type="expression" dxfId="211" priority="30">
      <formula>AND($C22-TODAY()&lt;30,TODAY()&lt;$C22)</formula>
    </cfRule>
  </conditionalFormatting>
  <conditionalFormatting sqref="C22">
    <cfRule type="cellIs" dxfId="210" priority="31" stopIfTrue="1" operator="lessThan">
      <formula>$B$2</formula>
    </cfRule>
  </conditionalFormatting>
  <conditionalFormatting sqref="C16">
    <cfRule type="expression" dxfId="209" priority="28">
      <formula>AND($C16-TODAY()&lt;30,TODAY()&lt;$C16)</formula>
    </cfRule>
  </conditionalFormatting>
  <conditionalFormatting sqref="C16">
    <cfRule type="cellIs" dxfId="208" priority="29" stopIfTrue="1" operator="lessThan">
      <formula>$B$2</formula>
    </cfRule>
  </conditionalFormatting>
  <conditionalFormatting sqref="C16">
    <cfRule type="expression" dxfId="207" priority="26">
      <formula>AND($C16-TODAY()&lt;30,TODAY()&lt;$C16)</formula>
    </cfRule>
  </conditionalFormatting>
  <conditionalFormatting sqref="C16">
    <cfRule type="cellIs" dxfId="206" priority="27" stopIfTrue="1" operator="lessThan">
      <formula>$B$2</formula>
    </cfRule>
  </conditionalFormatting>
  <conditionalFormatting sqref="B16">
    <cfRule type="cellIs" dxfId="205" priority="25" stopIfTrue="1" operator="equal">
      <formula>"已过期"</formula>
    </cfRule>
  </conditionalFormatting>
  <conditionalFormatting sqref="C14:C15">
    <cfRule type="expression" dxfId="204" priority="23">
      <formula>AND($C14-TODAY()&lt;30,TODAY()&lt;$C14)</formula>
    </cfRule>
  </conditionalFormatting>
  <conditionalFormatting sqref="C14:C15">
    <cfRule type="cellIs" dxfId="203" priority="24" stopIfTrue="1" operator="lessThan">
      <formula>$B$2</formula>
    </cfRule>
  </conditionalFormatting>
  <conditionalFormatting sqref="C14">
    <cfRule type="expression" dxfId="202" priority="21">
      <formula>AND($C14-TODAY()&lt;30,TODAY()&lt;$C14)</formula>
    </cfRule>
  </conditionalFormatting>
  <conditionalFormatting sqref="C14">
    <cfRule type="cellIs" dxfId="201" priority="22" stopIfTrue="1" operator="lessThan">
      <formula>$B$2</formula>
    </cfRule>
  </conditionalFormatting>
  <conditionalFormatting sqref="C15">
    <cfRule type="expression" dxfId="200" priority="19">
      <formula>AND($C15-TODAY()&lt;30,TODAY()&lt;$C15)</formula>
    </cfRule>
  </conditionalFormatting>
  <conditionalFormatting sqref="C15">
    <cfRule type="cellIs" dxfId="199" priority="20" stopIfTrue="1" operator="lessThan">
      <formula>$B$2</formula>
    </cfRule>
  </conditionalFormatting>
  <conditionalFormatting sqref="B14">
    <cfRule type="cellIs" dxfId="198" priority="18" stopIfTrue="1" operator="equal">
      <formula>"已过期"</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F16">
    <cfRule type="cellIs" dxfId="194" priority="14" stopIfTrue="1" operator="lessThan">
      <formula>$B$2</formula>
    </cfRule>
  </conditionalFormatting>
  <conditionalFormatting sqref="E16 E14">
    <cfRule type="cellIs" dxfId="193" priority="13" stopIfTrue="1" operator="equal">
      <formula>"已过期"</formula>
    </cfRule>
  </conditionalFormatting>
  <conditionalFormatting sqref="E15">
    <cfRule type="cellIs" dxfId="192" priority="12" stopIfTrue="1" operator="equal">
      <formula>"已过期"</formula>
    </cfRule>
  </conditionalFormatting>
  <conditionalFormatting sqref="D15">
    <cfRule type="cellIs" dxfId="191" priority="11" stopIfTrue="1" operator="equal">
      <formula>"已过期"</formula>
    </cfRule>
  </conditionalFormatting>
  <conditionalFormatting sqref="F17">
    <cfRule type="cellIs" dxfId="190" priority="10" stopIfTrue="1" operator="lessThan">
      <formula>$B$2</formula>
    </cfRule>
  </conditionalFormatting>
  <conditionalFormatting sqref="E17">
    <cfRule type="cellIs" dxfId="189" priority="9" stopIfTrue="1" operator="equal">
      <formula>"已过期"</formula>
    </cfRule>
  </conditionalFormatting>
  <conditionalFormatting sqref="F14">
    <cfRule type="cellIs" dxfId="188" priority="8" stopIfTrue="1" operator="lessThan">
      <formula>$B$2</formula>
    </cfRule>
  </conditionalFormatting>
  <conditionalFormatting sqref="C18">
    <cfRule type="expression" dxfId="187" priority="6">
      <formula>AND($C18-TODAY()&lt;30,TODAY()&lt;$C18)</formula>
    </cfRule>
  </conditionalFormatting>
  <conditionalFormatting sqref="C18">
    <cfRule type="cellIs" dxfId="186" priority="7" stopIfTrue="1" operator="lessThan">
      <formula>$B$2</formula>
    </cfRule>
  </conditionalFormatting>
  <conditionalFormatting sqref="C18">
    <cfRule type="expression" dxfId="185" priority="4">
      <formula>AND($C18-TODAY()&lt;30,TODAY()&lt;$C18)</formula>
    </cfRule>
  </conditionalFormatting>
  <conditionalFormatting sqref="C18">
    <cfRule type="cellIs" dxfId="184" priority="5" stopIfTrue="1" operator="lessThan">
      <formula>$B$2</formula>
    </cfRule>
  </conditionalFormatting>
  <conditionalFormatting sqref="B18">
    <cfRule type="cellIs" dxfId="183" priority="3" stopIfTrue="1" operator="equal">
      <formula>"已过期"</formula>
    </cfRule>
  </conditionalFormatting>
  <conditionalFormatting sqref="C28">
    <cfRule type="expression" dxfId="182" priority="1">
      <formula>AND($C28-TODAY()&lt;30,TODAY()&lt;$C28)</formula>
    </cfRule>
  </conditionalFormatting>
  <conditionalFormatting sqref="C28">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酒店收入计算</vt:lpstr>
      <vt:lpstr>比较法-住宅</vt:lpstr>
      <vt:lpstr>基准地价修正-办公、车库</vt:lpstr>
      <vt:lpstr>基准地价修正-商业</vt:lpstr>
      <vt:lpstr>成本法</vt:lpstr>
      <vt:lpstr>收益法（汇总）</vt:lpstr>
      <vt:lpstr>比较法-办公</vt:lpstr>
      <vt:lpstr>比较法-工业</vt:lpstr>
      <vt:lpstr>比较法-仓储</vt:lpstr>
      <vt:lpstr>土地比较法-住宅、综合</vt:lpstr>
      <vt:lpstr>土地比较法-工业</vt:lpstr>
      <vt:lpstr>修正</vt:lpstr>
      <vt:lpstr>容积率修正</vt:lpstr>
      <vt:lpstr>基准地价（汇总）</vt:lpstr>
      <vt:lpstr>地价</vt:lpstr>
      <vt:lpstr>收益法-办公</vt:lpstr>
      <vt:lpstr>典型户型修正-办公</vt:lpstr>
      <vt:lpstr>结果表-商业</vt:lpstr>
      <vt:lpstr>比较法-商业</vt:lpstr>
      <vt:lpstr>收益法-商业</vt:lpstr>
      <vt:lpstr>典型户型修正-商业</vt:lpstr>
      <vt:lpstr>结果表-车位</vt:lpstr>
      <vt:lpstr>比较法-车位</vt:lpstr>
      <vt:lpstr>收益法-车位</vt:lpstr>
      <vt:lpstr>成本法（废）</vt:lpstr>
      <vt:lpstr>区片价</vt:lpstr>
      <vt:lpstr>因素修正幅度</vt:lpstr>
      <vt:lpstr>存贷款利率</vt:lpstr>
      <vt:lpstr>区片价（范围）</vt:lpstr>
      <vt:lpstr>办公案例</vt:lpstr>
      <vt:lpstr>商业案例</vt:lpstr>
      <vt:lpstr>车库案例</vt:lpstr>
      <vt:lpstr>租金情况</vt:lpstr>
      <vt:lpstr>预评函结果表</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2019-12-04T07:35:45Z</dcterms:modified>
</cp:coreProperties>
</file>