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7"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D3" i="4"/>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C107" i="9"/>
  <c r="C105" i="9"/>
  <c r="C110" i="9"/>
  <c r="D15" i="66"/>
  <c r="C15" i="66"/>
  <c r="B15" i="66"/>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F25"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N69"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AB17" i="39"/>
  <c r="U29" i="39"/>
  <c r="AB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D63" i="9"/>
  <c r="D71" i="9"/>
  <c r="D66" i="9"/>
  <c r="N72" i="9"/>
  <c r="D73" i="9"/>
  <c r="N73" i="9"/>
  <c r="C103" i="9"/>
  <c r="C111" i="9"/>
  <c r="C104" i="9"/>
  <c r="C113" i="9"/>
  <c r="C114" i="9"/>
  <c r="C115" i="9"/>
  <c r="D76" i="9"/>
  <c r="D74" i="9"/>
  <c r="N74" i="9"/>
  <c r="O77" i="9"/>
  <c r="O79" i="9"/>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<sst xmlns="http://schemas.openxmlformats.org/spreadsheetml/2006/main" count="7689" uniqueCount="3222">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</sst>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2019年7月4日（评估专业人员勘察现场之日）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估价期日：2019年7月4日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41750</v>
      </c>
    </row>
    <row r="47" spans="1:2">
      <c r="A47" s="2833" t="s">
        <v>2723</v>
      </c>
      <c r="B47" s="2834">
        <f ca="1">'预评函-2'!Q5</f>
        <v>6496</v>
      </c>
    </row>
    <row r="48" spans="1:2">
      <c r="A48" s="2833" t="s">
        <v>2724</v>
      </c>
      <c r="B48" s="2834">
        <f ca="1">'预评函-2'!R5</f>
        <v>159280</v>
      </c>
    </row>
    <row r="49" spans="1:2">
      <c r="A49" s="2833" t="s">
        <v>2740</v>
      </c>
      <c r="B49" s="2834" t="str">
        <f>'预评函-2'!A6</f>
        <v>抵押价格</v>
      </c>
    </row>
    <row r="50" spans="1:2">
      <c r="A50" s="2833" t="s">
        <v>2725</v>
      </c>
      <c r="B50" s="2834">
        <f ca="1">'预评函-2'!R6</f>
        <v>159280</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6" sqref="H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2" t="str">
        <f>IF(B10="北京市","北京市",C10)&amp;F10&amp;B16&amp;"国有建设用地使用权"&amp;B9&amp;"预评估"</f>
        <v>k5雅苑出让国有建设用地使用权抵押价格预评估</v>
      </c>
      <c r="C1" s="3263"/>
      <c r="D1" s="3263"/>
      <c r="E1" s="3263"/>
      <c r="F1" s="3263"/>
      <c r="G1" s="3263"/>
      <c r="H1" s="3263"/>
      <c r="I1" s="3264"/>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f>B3</f>
        <v>43650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68" t="s">
        <v>1944</v>
      </c>
      <c r="E8" s="1828" t="s">
        <v>3001</v>
      </c>
      <c r="F8" s="1656"/>
      <c r="G8" s="1644"/>
      <c r="H8" s="1644"/>
      <c r="I8" s="1691"/>
      <c r="J8" s="1678"/>
      <c r="K8" s="1758"/>
      <c r="L8" s="1707"/>
      <c r="M8" s="1707"/>
      <c r="N8" s="1678"/>
      <c r="O8" s="1679"/>
      <c r="P8" s="1678"/>
      <c r="Q8" s="1678"/>
      <c r="R8" s="1678"/>
      <c r="S8" s="1678"/>
      <c r="T8" s="1678"/>
      <c r="U8" s="1678"/>
    </row>
    <row r="9" spans="1:21" ht="15" thickBot="1">
      <c r="A9" s="1657" t="s">
        <v>1943</v>
      </c>
      <c r="B9" s="1658" t="s">
        <v>3001</v>
      </c>
      <c r="C9" s="1659"/>
      <c r="D9" s="3269"/>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2888</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2889</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70" t="s">
        <v>2890</v>
      </c>
      <c r="F22" s="3271"/>
      <c r="G22" s="3271"/>
      <c r="H22" s="3271"/>
      <c r="I22" s="3272"/>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28.5">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21" sqref="K20: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3.5"/>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5.08</v>
      </c>
      <c r="J4" s="1969"/>
      <c r="K4" s="1969"/>
      <c r="L4" s="1969"/>
    </row>
    <row r="5" spans="1:16">
      <c r="A5" s="110" t="s">
        <v>207</v>
      </c>
      <c r="B5" s="3317" t="s">
        <v>230</v>
      </c>
      <c r="C5" s="3317"/>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7" t="s">
        <v>208</v>
      </c>
      <c r="C6" s="3317"/>
      <c r="D6" s="111">
        <f>ROUND($D$3*E6/$E$3,2)</f>
        <v>9976.0400000000009</v>
      </c>
      <c r="E6" s="112">
        <f>E3-E5</f>
        <v>64116.779903754214</v>
      </c>
      <c r="F6" s="1969"/>
      <c r="G6" s="1197"/>
      <c r="H6" s="275" t="s">
        <v>860</v>
      </c>
      <c r="I6" s="1961">
        <f>ROUND(F31/D31,2)</f>
        <v>4.92</v>
      </c>
      <c r="J6" s="1969"/>
      <c r="K6" s="1969"/>
      <c r="L6" s="1969"/>
    </row>
    <row r="7" spans="1:16" ht="15">
      <c r="A7" s="3309"/>
      <c r="B7" s="3310"/>
      <c r="C7" s="3311"/>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36900.65</v>
      </c>
      <c r="E16" s="120">
        <f>SUM(E8:E15)</f>
        <v>237163.33990375421</v>
      </c>
      <c r="F16" s="1969"/>
      <c r="G16" s="1971"/>
      <c r="H16" s="968" t="s">
        <v>219</v>
      </c>
      <c r="I16" s="969"/>
      <c r="J16" s="1969"/>
      <c r="K16" s="3303" t="s">
        <v>2565</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2566</v>
      </c>
      <c r="L17" s="3307"/>
      <c r="M17" s="3308"/>
      <c r="N17" s="3306" t="s">
        <v>2567</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50</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1.25">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1.25">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4">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1.25"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7">
      <c r="A8" s="1225"/>
      <c r="B8" s="1227" t="s">
        <v>2546</v>
      </c>
      <c r="C8" s="3035" t="s">
        <v>2915</v>
      </c>
      <c r="D8" s="1995"/>
      <c r="E8" s="1995"/>
      <c r="F8" s="1540"/>
      <c r="G8" s="1540"/>
      <c r="H8" s="1993"/>
      <c r="I8" s="1993"/>
      <c r="J8" s="1993"/>
      <c r="K8" s="1993"/>
      <c r="L8" s="1993"/>
      <c r="M8" s="1993"/>
      <c r="N8" s="1993"/>
      <c r="O8" s="1993"/>
      <c r="P8" s="1993"/>
      <c r="Q8" s="1993"/>
      <c r="R8" s="1993"/>
    </row>
    <row r="9" spans="1:18" ht="40.5">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2545</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1661</v>
      </c>
      <c r="G21" s="3039"/>
    </row>
    <row r="22" spans="1:7" ht="27">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B15"/>
    </sheetView>
  </sheetViews>
  <sheetFormatPr defaultColWidth="14.625" defaultRowHeight="13.5"/>
  <cols>
    <col min="1" max="1" width="24.375" customWidth="1"/>
  </cols>
  <sheetData>
    <row r="1" spans="1:9" ht="16.5">
      <c r="A1" s="2997" t="s">
        <v>2843</v>
      </c>
      <c r="B1" s="2997" t="e">
        <f>SUM(B14:B23)</f>
        <v>#REF!</v>
      </c>
      <c r="C1" s="2998"/>
      <c r="D1" s="2998"/>
      <c r="E1" s="2998"/>
      <c r="F1" s="2998"/>
    </row>
    <row r="2" spans="1:9" ht="16.5">
      <c r="A2" s="2997" t="s">
        <v>2844</v>
      </c>
      <c r="B2" s="2997" t="e">
        <f>SUM(C14:C23)</f>
        <v>#REF!</v>
      </c>
      <c r="C2" s="2998"/>
      <c r="D2" s="2998"/>
      <c r="E2" s="2998"/>
      <c r="F2" s="2998"/>
    </row>
    <row r="3" spans="1:9" ht="16.5">
      <c r="A3" s="2997" t="s">
        <v>2845</v>
      </c>
      <c r="B3" s="2999">
        <f>项目基本情况!D3</f>
        <v>43650</v>
      </c>
      <c r="C3" s="2998"/>
      <c r="D3" s="2998"/>
      <c r="E3" s="2998"/>
      <c r="F3" s="2998"/>
    </row>
    <row r="4" spans="1:9" ht="33">
      <c r="A4" s="2997" t="s">
        <v>2846</v>
      </c>
      <c r="B4" s="2997" t="s">
        <v>2847</v>
      </c>
      <c r="C4" s="2997" t="s">
        <v>2848</v>
      </c>
      <c r="D4" s="2997" t="s">
        <v>2849</v>
      </c>
      <c r="E4" s="2998"/>
      <c r="F4" s="2998"/>
    </row>
    <row r="5" spans="1:9" ht="16.5">
      <c r="A5" s="2997" t="s">
        <v>2850</v>
      </c>
      <c r="B5" s="2997" t="e">
        <f ca="1">SUM(D14:D23)</f>
        <v>#REF!</v>
      </c>
      <c r="C5" s="2997" t="e">
        <f ca="1">ROUND(B5*10000/$B$1,0)</f>
        <v>#REF!</v>
      </c>
      <c r="D5" s="2997" t="e">
        <f ca="1">ROUND(B5*10000/$B$2,0)</f>
        <v>#REF!</v>
      </c>
      <c r="E5" s="2998"/>
      <c r="F5" s="2998"/>
    </row>
    <row r="6" spans="1:9" ht="16.5">
      <c r="A6" s="2997" t="s">
        <v>2851</v>
      </c>
      <c r="B6" s="2997">
        <f ca="1">SUM(G14:G23)</f>
        <v>159280</v>
      </c>
      <c r="C6" s="2997" t="e">
        <f t="shared" ref="C6:C8" ca="1" si="0">ROUND(B6*10000/$B$1,0)</f>
        <v>#REF!</v>
      </c>
      <c r="D6" s="2997" t="e">
        <f t="shared" ref="D6:D8" ca="1" si="1">ROUND(B6*10000/$B$2,0)</f>
        <v>#REF!</v>
      </c>
      <c r="E6" s="2998"/>
      <c r="F6" s="2998"/>
    </row>
    <row r="7" spans="1:9" ht="16.5">
      <c r="A7" s="2997" t="s">
        <v>2852</v>
      </c>
      <c r="B7" s="2997">
        <f>SUM(H14:H23)</f>
        <v>0</v>
      </c>
      <c r="C7" s="2997" t="e">
        <f t="shared" si="0"/>
        <v>#REF!</v>
      </c>
      <c r="D7" s="2997" t="e">
        <f t="shared" si="1"/>
        <v>#REF!</v>
      </c>
      <c r="E7" s="2998"/>
      <c r="F7" s="2998"/>
    </row>
    <row r="8" spans="1:9" ht="16.5">
      <c r="A8" s="2997" t="s">
        <v>2853</v>
      </c>
      <c r="B8" s="2997">
        <f>SUM(I14:I23)</f>
        <v>0</v>
      </c>
      <c r="C8" s="2997" t="e">
        <f t="shared" si="0"/>
        <v>#REF!</v>
      </c>
      <c r="D8" s="2997" t="e">
        <f t="shared" si="1"/>
        <v>#REF!</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245201.18990375422</v>
      </c>
      <c r="C14" s="3001">
        <f>结果表!K38</f>
        <v>38151.279999999999</v>
      </c>
      <c r="D14" s="3001">
        <f ca="1">结果表!C42</f>
        <v>159280</v>
      </c>
      <c r="E14" s="3001">
        <f ca="1">ROUND(D14*10000/B14,0)</f>
        <v>6496</v>
      </c>
      <c r="F14" s="3001">
        <f ca="1">ROUND(D14*10000/C14,0)</f>
        <v>41750</v>
      </c>
      <c r="G14" s="3001">
        <f ca="1">结果表!C44</f>
        <v>159280</v>
      </c>
      <c r="H14" s="3001" t="str">
        <f>结果表!C45</f>
        <v>——</v>
      </c>
      <c r="I14" s="3001" t="str">
        <f>结果表!C46</f>
        <v>——</v>
      </c>
    </row>
    <row r="15" spans="1:9" ht="16.5">
      <c r="A15" s="3004" t="s">
        <v>2860</v>
      </c>
      <c r="B15" s="3005" t="e">
        <f>#REF!</f>
        <v>#REF!</v>
      </c>
      <c r="C15" s="3005" t="e">
        <f>#REF!</f>
        <v>#REF!</v>
      </c>
      <c r="D15" s="3005" t="e">
        <f>#REF!</f>
        <v>#REF!</v>
      </c>
      <c r="E15" s="3001" t="e">
        <f t="shared" ref="E15:E23" si="2">ROUND(D15*10000/B15,0)</f>
        <v>#REF!</v>
      </c>
      <c r="F15" s="3001" t="e">
        <f t="shared" ref="F15:F23" si="3">ROUND(D15*10000/C15,0)</f>
        <v>#REF!</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19" sqref="G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k5雅苑出让国有建设用地使用权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4.25">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25">
      <c r="A4" s="258" t="s">
        <v>299</v>
      </c>
      <c r="B4" s="259" t="s">
        <v>300</v>
      </c>
      <c r="C4" s="260" t="s">
        <v>3013</v>
      </c>
      <c r="D4" s="260" t="s">
        <v>3014</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4.25">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4.25">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4.25">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4.25">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4.25">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9" t="s">
        <v>315</v>
      </c>
      <c r="B14" s="3370">
        <v>30</v>
      </c>
      <c r="C14" s="3378">
        <v>5</v>
      </c>
      <c r="D14" s="3381">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161512</v>
      </c>
      <c r="D19" s="271">
        <f ca="1">SUMIF(INDIRECT("'"&amp;D4&amp;"'"&amp;"!A:A"),结果表!B19,INDIRECT("'"&amp;D4&amp;"'"&amp;"!B:B"))</f>
        <v>157048</v>
      </c>
      <c r="E19" s="268" t="s">
        <v>323</v>
      </c>
      <c r="F19" s="269" t="s">
        <v>322</v>
      </c>
      <c r="G19" s="272">
        <f ca="1">ROUND(C19*$C$18+D19*$D$18,0)</f>
        <v>159280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6587</v>
      </c>
      <c r="D20" s="277">
        <f ca="1">SUMIF(INDIRECT("'"&amp;D4&amp;"'"&amp;"!A:A"),结果表!B20,INDIRECT("'"&amp;D4&amp;"'"&amp;"!B:B"))</f>
        <v>6405</v>
      </c>
      <c r="E20" s="274"/>
      <c r="F20" s="275" t="s">
        <v>325</v>
      </c>
      <c r="G20" s="278">
        <f ca="1">ROUND(C20*$C$18+D20*$D$18,0)</f>
        <v>6496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42335</v>
      </c>
      <c r="D21" s="151">
        <f ca="1">SUMIF(INDIRECT("'"&amp;D4&amp;"'"&amp;"!A:A"),结果表!B21,INDIRECT("'"&amp;D4&amp;"'"&amp;"!B:B"))</f>
        <v>41165</v>
      </c>
      <c r="E21" s="274"/>
      <c r="F21" s="280" t="s">
        <v>327</v>
      </c>
      <c r="G21" s="282">
        <f ca="1">ROUND(C21*$C$18+D21*$D$18,0)</f>
        <v>41750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2.8424430747287399E-2</v>
      </c>
      <c r="E22" s="284"/>
      <c r="F22" s="285"/>
      <c r="G22" s="286">
        <f ca="1">ROUND(G19/('数据-汇总表'!D3/666.67),0)</f>
        <v>2783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出让国有建设用地使用权价格：159280万元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大写金额：人民币壹拾伍亿玖仟贰佰捌拾万元整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单位面积地价：41750元/平方米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楼面地价：6496元/平方米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抵押价格：159280万元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大写金额：人民币壹拾伍亿玖仟贰佰捌拾万元整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159280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6496</v>
      </c>
      <c r="D33" s="1382" t="s">
        <v>1691</v>
      </c>
      <c r="E33" s="334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41750</v>
      </c>
      <c r="D34" s="1384" t="s">
        <v>1691</v>
      </c>
      <c r="E34" s="334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2783</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41750</v>
      </c>
      <c r="N38" s="1265">
        <f ca="1">C33</f>
        <v>6496</v>
      </c>
      <c r="O38" s="1266">
        <f ca="1">C32</f>
        <v>159280</v>
      </c>
      <c r="P38" s="2014"/>
      <c r="V38" s="2014"/>
    </row>
    <row r="39" spans="1:26" ht="16.5" customHeight="1" thickBot="1">
      <c r="A39" s="1261"/>
      <c r="B39" s="308"/>
      <c r="C39" s="309"/>
      <c r="D39" s="309"/>
      <c r="E39" s="310"/>
      <c r="F39" s="311"/>
      <c r="G39" s="311"/>
      <c r="H39" s="311"/>
      <c r="I39" s="311"/>
      <c r="J39" s="2016"/>
      <c r="K39" s="3325" t="str">
        <f>MID(A44,3,LEN(A44)-2)</f>
        <v>抵押价格</v>
      </c>
      <c r="L39" s="3326"/>
      <c r="M39" s="3326"/>
      <c r="N39" s="3327"/>
      <c r="O39" s="1389">
        <f ca="1">C44</f>
        <v>159280</v>
      </c>
      <c r="P39" s="2014"/>
      <c r="V39" s="2014"/>
    </row>
    <row r="40" spans="1:26" ht="19.5"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5" t="str">
        <f t="shared" si="0"/>
        <v/>
      </c>
      <c r="L41" s="3326"/>
      <c r="M41" s="3326"/>
      <c r="N41" s="3327"/>
      <c r="O41" s="1389" t="str">
        <f>C46</f>
        <v>——</v>
      </c>
      <c r="P41" s="2014"/>
      <c r="V41" s="2014"/>
    </row>
    <row r="42" spans="1:26" ht="29.25">
      <c r="A42" s="3385" t="s">
        <v>2067</v>
      </c>
      <c r="B42" s="3386"/>
      <c r="C42" s="264">
        <f ca="1">C32</f>
        <v>159280</v>
      </c>
      <c r="D42" s="317">
        <f ca="1">C33</f>
        <v>6496</v>
      </c>
      <c r="E42" s="317">
        <f ca="1">C34</f>
        <v>41750</v>
      </c>
      <c r="F42" s="318">
        <f ca="1">C35</f>
        <v>2783</v>
      </c>
      <c r="G42" s="311"/>
      <c r="H42" s="311"/>
      <c r="I42" s="319"/>
      <c r="J42" s="2016"/>
      <c r="K42" s="1267" t="s">
        <v>361</v>
      </c>
      <c r="L42" s="2033" t="s">
        <v>362</v>
      </c>
      <c r="M42" s="1268" t="s">
        <v>363</v>
      </c>
      <c r="N42" s="2034" t="s">
        <v>364</v>
      </c>
      <c r="O42" s="2035" t="s">
        <v>365</v>
      </c>
      <c r="P42" s="2014"/>
      <c r="V42" s="2014"/>
    </row>
    <row r="43" spans="1:26" ht="30">
      <c r="A43" s="3395" t="s">
        <v>2729</v>
      </c>
      <c r="B43" s="339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161512</v>
      </c>
      <c r="M43" s="1271">
        <f>C18</f>
        <v>0.5</v>
      </c>
      <c r="N43" s="1272">
        <f ca="1">IF(N42="测算结果/万元",G19,G20)</f>
        <v>159280</v>
      </c>
      <c r="O43" s="1273">
        <f ca="1">IF(O42="最终结果/万元",C32,C33)</f>
        <v>159280</v>
      </c>
      <c r="P43" s="2014"/>
      <c r="V43" s="2014"/>
    </row>
    <row r="44" spans="1:26" ht="30.75" thickBot="1">
      <c r="A44" s="3385" t="str">
        <f>IF(OR(项目基本情况!E8="抵押价格",项目基本情况!E8="已注销及未注销"),"3.抵押价格","——")</f>
        <v>3.抵押价格</v>
      </c>
      <c r="B44" s="3386"/>
      <c r="C44" s="264">
        <f ca="1">IF(A44="——","——",C42-C43)</f>
        <v>159280</v>
      </c>
      <c r="D44" s="317">
        <f ca="1">ROUND(C44*10000/'数据-汇总表'!E3,0)</f>
        <v>6496</v>
      </c>
      <c r="E44" s="317">
        <f ca="1">ROUND(C44*10000/'数据-汇总表'!D3,0)</f>
        <v>41750</v>
      </c>
      <c r="F44" s="318">
        <f ca="1">ROUND(C44/('数据-汇总表'!D3/666.67),0)</f>
        <v>2783</v>
      </c>
      <c r="G44" s="311"/>
      <c r="H44" s="311"/>
      <c r="I44" s="319"/>
      <c r="J44" s="2016"/>
      <c r="K44" s="1274" t="str">
        <f>D4</f>
        <v>剩余法-待开发</v>
      </c>
      <c r="L44" s="1275">
        <f ca="1">IF(L42="估价结果/万元",D19,D20)</f>
        <v>157048</v>
      </c>
      <c r="M44" s="1276">
        <f>D18</f>
        <v>0.5</v>
      </c>
      <c r="N44" s="1277"/>
      <c r="O44" s="1278"/>
      <c r="P44" s="2014"/>
      <c r="V44" s="2014"/>
    </row>
    <row r="45" spans="1:26" ht="15">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f ca="1">ROUND(C42*F63,0)</f>
        <v>159280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9" t="s">
        <v>386</v>
      </c>
      <c r="B66" s="3360"/>
      <c r="C66" s="3360"/>
      <c r="D66" s="261">
        <f ca="1">IF(H66="情况1",0,IF(H66="情况2",D70,IF(H66="情况3",D71,IF(H66="情况4",D72))))</f>
        <v>8495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43650</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f ca="1">C42</f>
        <v>159280</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2882</v>
      </c>
      <c r="M69" s="3335"/>
      <c r="N69" s="1291">
        <f ca="1">C44</f>
        <v>159280</v>
      </c>
      <c r="O69" s="1291"/>
      <c r="P69" s="1291"/>
      <c r="Q69" s="2014"/>
      <c r="R69" s="2014"/>
      <c r="S69" s="2014"/>
      <c r="T69" s="2014"/>
      <c r="U69" s="2014"/>
      <c r="V69" s="2014"/>
    </row>
    <row r="70" spans="1:22" ht="24" customHeight="1">
      <c r="A70" s="359" t="s">
        <v>396</v>
      </c>
      <c r="B70" s="3372" t="s">
        <v>397</v>
      </c>
      <c r="C70" s="3372"/>
      <c r="D70" s="358">
        <f ca="1">ROUND(D63*'数据-取费表'!B41/(1+'数据-取费表'!C42),0)</f>
        <v>8495</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71" t="s">
        <v>405</v>
      </c>
      <c r="C71" s="3383"/>
      <c r="D71" s="358">
        <f ca="1">ROUND(D63*'数据-取费表'!B41/(1+'数据-取费表'!C42),0)</f>
        <v>8495</v>
      </c>
      <c r="E71" s="17" t="s">
        <v>398</v>
      </c>
      <c r="F71" s="360">
        <f>'数据-取费表'!B41</f>
        <v>5.6000000000000001E-2</v>
      </c>
      <c r="G71" s="361"/>
      <c r="H71" s="311"/>
      <c r="I71" s="1288"/>
      <c r="J71" s="2021"/>
      <c r="K71" s="3013" t="s">
        <v>399</v>
      </c>
      <c r="L71" s="3336" t="s">
        <v>400</v>
      </c>
      <c r="M71" s="3336"/>
      <c r="N71" s="3013" t="s">
        <v>401</v>
      </c>
      <c r="O71" s="3013" t="s">
        <v>402</v>
      </c>
      <c r="P71" s="3013" t="s">
        <v>403</v>
      </c>
      <c r="Q71" s="2014"/>
      <c r="R71" s="2014"/>
      <c r="S71" s="2014"/>
      <c r="T71" s="2014"/>
      <c r="U71" s="2014"/>
      <c r="V71" s="2014"/>
    </row>
    <row r="72" spans="1:22" ht="12" customHeight="1">
      <c r="A72" s="359" t="s">
        <v>407</v>
      </c>
      <c r="B72" s="3371" t="s">
        <v>408</v>
      </c>
      <c r="C72" s="3383"/>
      <c r="D72" s="358">
        <f ca="1">C86</f>
        <v>8383</v>
      </c>
      <c r="E72" s="73" t="s">
        <v>409</v>
      </c>
      <c r="F72" s="360">
        <f>'数据-取费表'!B41</f>
        <v>5.6000000000000001E-2</v>
      </c>
      <c r="G72" s="361"/>
      <c r="H72" s="1294"/>
      <c r="I72" s="1288"/>
      <c r="J72" s="2021"/>
      <c r="K72" s="1962">
        <v>1</v>
      </c>
      <c r="L72" s="3333" t="s">
        <v>406</v>
      </c>
      <c r="M72" s="3333"/>
      <c r="N72" s="1292">
        <f ca="1">D66</f>
        <v>8495</v>
      </c>
      <c r="O72" s="1845" t="str">
        <f>E66</f>
        <v>销售额×税（费）率</v>
      </c>
      <c r="P72" s="1293">
        <f>F66</f>
        <v>5.6000000000000001E-2</v>
      </c>
      <c r="Q72" s="2014"/>
      <c r="R72" s="2014"/>
      <c r="S72" s="2014"/>
      <c r="T72" s="2014"/>
      <c r="U72" s="2014"/>
      <c r="V72" s="2014"/>
    </row>
    <row r="73" spans="1:22" ht="24" customHeight="1">
      <c r="A73" s="3359" t="s">
        <v>411</v>
      </c>
      <c r="B73" s="3360"/>
      <c r="C73" s="3360"/>
      <c r="D73" s="362">
        <f ca="1">IF(H73="个人住宅",0,ROUND(D63*I73,0))</f>
        <v>80</v>
      </c>
      <c r="E73" s="17" t="s">
        <v>412</v>
      </c>
      <c r="F73" s="360">
        <f>IF(H73="正常",I73,"免征")</f>
        <v>5.0000000000000001E-4</v>
      </c>
      <c r="G73" s="361"/>
      <c r="H73" s="191" t="s">
        <v>3134</v>
      </c>
      <c r="I73" s="360">
        <f>'数据-取费表'!B49</f>
        <v>5.0000000000000001E-4</v>
      </c>
      <c r="J73" s="2021"/>
      <c r="K73" s="1962">
        <v>2</v>
      </c>
      <c r="L73" s="3333" t="s">
        <v>410</v>
      </c>
      <c r="M73" s="3333"/>
      <c r="N73" s="1292">
        <f t="shared" ref="N73:P74" ca="1" si="1">D73</f>
        <v>80</v>
      </c>
      <c r="O73" s="1845" t="str">
        <f t="shared" si="1"/>
        <v>销售额×税（费）率</v>
      </c>
      <c r="P73" s="1293">
        <f t="shared" si="1"/>
        <v>5.0000000000000001E-4</v>
      </c>
      <c r="Q73" s="2014"/>
      <c r="R73" s="2014"/>
      <c r="S73" s="2014"/>
      <c r="T73" s="2014"/>
      <c r="U73" s="2014"/>
      <c r="V73" s="2014"/>
    </row>
    <row r="74" spans="1:22" ht="24.75">
      <c r="A74" s="3359" t="s">
        <v>415</v>
      </c>
      <c r="B74" s="3360"/>
      <c r="C74" s="3360"/>
      <c r="D74" s="362">
        <f ca="1">IF(H74="个人住宅",D75,D76)</f>
        <v>40423</v>
      </c>
      <c r="E74" s="17" t="s">
        <v>416</v>
      </c>
      <c r="F74" s="360" t="str">
        <f>IF(H74="正常",F76,"免征")</f>
        <v>——</v>
      </c>
      <c r="G74" s="983" t="s">
        <v>417</v>
      </c>
      <c r="H74" s="363" t="s">
        <v>413</v>
      </c>
      <c r="I74" s="42"/>
      <c r="J74" s="2021"/>
      <c r="K74" s="1962">
        <v>3</v>
      </c>
      <c r="L74" s="3333" t="s">
        <v>414</v>
      </c>
      <c r="M74" s="3333"/>
      <c r="N74" s="1292">
        <f t="shared" ca="1" si="1"/>
        <v>40423</v>
      </c>
      <c r="O74" s="1845" t="str">
        <f t="shared" si="1"/>
        <v>增值额×税（费）率</v>
      </c>
      <c r="P74" s="1295" t="str">
        <f t="shared" si="1"/>
        <v>——</v>
      </c>
      <c r="Q74" s="2014"/>
      <c r="R74" s="2014"/>
      <c r="S74" s="2014"/>
      <c r="T74" s="2014"/>
      <c r="U74" s="2014"/>
      <c r="V74" s="2014"/>
    </row>
    <row r="75" spans="1:22" ht="12.75">
      <c r="A75" s="359" t="s">
        <v>418</v>
      </c>
      <c r="B75" s="3340" t="s">
        <v>419</v>
      </c>
      <c r="C75" s="3341"/>
      <c r="D75" s="364">
        <v>0</v>
      </c>
      <c r="E75" s="41" t="s">
        <v>420</v>
      </c>
      <c r="F75" s="365"/>
      <c r="G75" s="361"/>
      <c r="H75" s="42"/>
      <c r="I75" s="42"/>
      <c r="J75" s="2021"/>
      <c r="K75" s="3006" t="str">
        <f>IF(H77="非个人房产","",4)</f>
        <v/>
      </c>
      <c r="L75" s="3333" t="str">
        <f>IF(H77="非个人房产","——","个人所得税")</f>
        <v>——</v>
      </c>
      <c r="M75" s="3333"/>
      <c r="N75" s="1296" t="str">
        <f>D77</f>
        <v>——</v>
      </c>
      <c r="O75" s="1858" t="str">
        <f>E77</f>
        <v>——</v>
      </c>
      <c r="P75" s="1297" t="str">
        <f>F77</f>
        <v>——</v>
      </c>
      <c r="Q75" s="2014"/>
      <c r="R75" s="2014"/>
      <c r="S75" s="2014"/>
      <c r="T75" s="2014"/>
      <c r="U75" s="2014"/>
      <c r="V75" s="2014"/>
    </row>
    <row r="76" spans="1:22" ht="24.75">
      <c r="A76" s="359" t="s">
        <v>396</v>
      </c>
      <c r="B76" s="3340" t="s">
        <v>422</v>
      </c>
      <c r="C76" s="3382"/>
      <c r="D76" s="362">
        <f ca="1">IF(H76="转让取得",C99,C115)</f>
        <v>40423</v>
      </c>
      <c r="E76" s="17" t="s">
        <v>423</v>
      </c>
      <c r="F76" s="53" t="s">
        <v>21</v>
      </c>
      <c r="G76" s="361"/>
      <c r="H76" s="363" t="s">
        <v>424</v>
      </c>
      <c r="I76" s="42"/>
      <c r="J76" s="2021"/>
      <c r="K76" s="3006"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4.75" thickBot="1">
      <c r="A77" s="3351" t="s">
        <v>426</v>
      </c>
      <c r="B77" s="3352"/>
      <c r="C77" s="3352"/>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47">
        <f>IF(AND(K75="",K76=""),4,IF(项目基本情况!K6="上海银行",K76+1,K75+1))</f>
        <v>4</v>
      </c>
      <c r="L77" s="3333" t="s">
        <v>2883</v>
      </c>
      <c r="M77" s="3012" t="s">
        <v>421</v>
      </c>
      <c r="N77" s="1298"/>
      <c r="O77" s="1299">
        <f ca="1">SUMIF(N72:N76,"&lt;9e307")</f>
        <v>48998</v>
      </c>
      <c r="P77" s="1300"/>
      <c r="Q77" s="3010">
        <f ca="1">O77/N69</f>
        <v>0.30762179809141132</v>
      </c>
      <c r="R77" s="2014"/>
      <c r="S77" s="2014"/>
      <c r="T77" s="2014"/>
      <c r="U77" s="2014"/>
      <c r="V77" s="2014"/>
    </row>
    <row r="78" spans="1:22" ht="12" customHeight="1">
      <c r="A78" s="1301"/>
      <c r="B78" s="311"/>
      <c r="C78" s="311"/>
      <c r="D78" s="311"/>
      <c r="E78" s="42"/>
      <c r="F78" s="42"/>
      <c r="G78" s="42"/>
      <c r="H78" s="1003"/>
      <c r="I78" s="311"/>
      <c r="J78" s="2021"/>
      <c r="K78" s="3347"/>
      <c r="L78" s="3333"/>
      <c r="M78" s="3012" t="s">
        <v>425</v>
      </c>
      <c r="N78" s="1298"/>
      <c r="O78" s="1299" t="str">
        <f ca="1">NUMBERSTRING(INT(O77*10000),2)&amp;"元整"</f>
        <v>肆亿捌仟玖佰玖拾捌万元整</v>
      </c>
      <c r="P78" s="1300"/>
      <c r="Q78" s="2014"/>
      <c r="R78" s="2014"/>
      <c r="S78" s="2014"/>
      <c r="T78" s="2014"/>
      <c r="U78" s="2014"/>
      <c r="V78" s="2014"/>
    </row>
    <row r="79" spans="1:22" ht="13.5" thickBot="1">
      <c r="A79" s="3337" t="s">
        <v>427</v>
      </c>
      <c r="B79" s="3337"/>
      <c r="C79" s="3337"/>
      <c r="D79" s="3337"/>
      <c r="E79" s="3337"/>
      <c r="F79" s="42"/>
      <c r="G79" s="42"/>
      <c r="H79" s="1003"/>
      <c r="I79" s="311"/>
      <c r="J79" s="2021"/>
      <c r="K79" s="3331">
        <f>K77+1</f>
        <v>5</v>
      </c>
      <c r="L79" s="3333" t="s">
        <v>2884</v>
      </c>
      <c r="M79" s="3012" t="s">
        <v>421</v>
      </c>
      <c r="N79" s="1298"/>
      <c r="O79" s="1299">
        <f ca="1">N69-O77</f>
        <v>110282</v>
      </c>
      <c r="P79" s="1300"/>
      <c r="Q79" s="2014"/>
      <c r="R79" s="2014"/>
      <c r="S79" s="2014"/>
      <c r="T79" s="2014"/>
      <c r="U79" s="2014"/>
      <c r="V79" s="2014"/>
    </row>
    <row r="80" spans="1:22" ht="25.5">
      <c r="A80" s="3338" t="s">
        <v>428</v>
      </c>
      <c r="B80" s="3339"/>
      <c r="C80" s="994"/>
      <c r="D80" s="994" t="s">
        <v>429</v>
      </c>
      <c r="E80" s="370" t="s">
        <v>430</v>
      </c>
      <c r="F80" s="42"/>
      <c r="G80" s="42"/>
      <c r="H80" s="1003"/>
      <c r="I80" s="311"/>
      <c r="J80" s="2014"/>
      <c r="K80" s="3332"/>
      <c r="L80" s="3333"/>
      <c r="M80" s="3012" t="s">
        <v>425</v>
      </c>
      <c r="N80" s="1298"/>
      <c r="O80" s="1299" t="str">
        <f ca="1">NUMBERSTRING(INT(O79*10000),2)&amp;"元整"</f>
        <v>壹拾壹亿零贰佰捌拾贰万元整</v>
      </c>
      <c r="P80" s="1300"/>
      <c r="Q80" s="2014"/>
      <c r="R80" s="2014"/>
      <c r="S80" s="2014"/>
      <c r="T80" s="2014"/>
      <c r="U80" s="2014"/>
      <c r="V80" s="2014"/>
    </row>
    <row r="81" spans="1:26" ht="13.5" thickBot="1">
      <c r="A81" s="381" t="s">
        <v>1823</v>
      </c>
      <c r="B81" s="371" t="s">
        <v>431</v>
      </c>
      <c r="C81" s="372">
        <f ca="1">ROUND((C82+C83)/(1+'数据-取费表'!C42),0)</f>
        <v>151695</v>
      </c>
      <c r="D81" s="373"/>
      <c r="E81" s="374"/>
      <c r="F81" s="42"/>
      <c r="G81" s="42"/>
      <c r="H81" s="1003"/>
      <c r="I81" s="311"/>
      <c r="J81" s="2014"/>
      <c r="K81" s="3006">
        <f>K79+1</f>
        <v>6</v>
      </c>
      <c r="L81" s="3345" t="s">
        <v>2885</v>
      </c>
      <c r="M81" s="3346"/>
      <c r="N81" s="1302"/>
      <c r="O81" s="1303">
        <f ca="1">ROUND(O79*10000/'数据-汇总表'!E3,0)</f>
        <v>4498</v>
      </c>
      <c r="P81" s="1304"/>
      <c r="Q81" s="2014"/>
      <c r="R81" s="2014"/>
      <c r="S81" s="2014"/>
      <c r="T81" s="2014"/>
      <c r="U81" s="2014"/>
      <c r="V81" s="2014"/>
    </row>
    <row r="82" spans="1:26" ht="13.5" thickTop="1">
      <c r="A82" s="375" t="s">
        <v>1824</v>
      </c>
      <c r="B82" s="376" t="s">
        <v>432</v>
      </c>
      <c r="C82" s="377">
        <f ca="1">D63</f>
        <v>159280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0" t="s">
        <v>2873</v>
      </c>
      <c r="L83" s="3018" t="s">
        <v>2874</v>
      </c>
      <c r="M83" s="3008">
        <f ca="1">IF(N69&gt;10000,N69*0.5%,IF(AND(N69&gt;1000,N69&lt;=10000),N69*1%,IF(AND(N69&gt;100,N69&lt;=1000),N69*3%,IF(AND(N69&gt;10,N69&lt;=100),N69*5%,N69*8%))))</f>
        <v>796.4</v>
      </c>
      <c r="N83" s="53">
        <f ca="1">ROUND(M83,1)</f>
        <v>796.4</v>
      </c>
      <c r="O83" s="3011"/>
      <c r="P83" s="2014"/>
      <c r="Q83" s="2014"/>
      <c r="R83" s="2014"/>
      <c r="S83" s="2014"/>
      <c r="T83" s="2014"/>
      <c r="U83" s="2014"/>
      <c r="V83" s="2014"/>
    </row>
    <row r="84" spans="1:26" ht="12.75">
      <c r="A84" s="381" t="s">
        <v>1826</v>
      </c>
      <c r="B84" s="382" t="s">
        <v>434</v>
      </c>
      <c r="C84" s="383">
        <v>2000</v>
      </c>
      <c r="D84" s="384" t="s">
        <v>19</v>
      </c>
      <c r="E84" s="3053" t="s">
        <v>2940</v>
      </c>
      <c r="F84" s="42"/>
      <c r="G84" s="42"/>
      <c r="H84" s="1003"/>
      <c r="I84" s="311"/>
      <c r="J84" s="2014"/>
      <c r="K84" s="3320"/>
      <c r="L84" s="3018" t="s">
        <v>2875</v>
      </c>
      <c r="M84" s="3008">
        <f ca="1">IF(N69&gt;2000,N69*0.5%,IF(AND(N69&gt;1000,N69&lt;=2000),N69*0.6%,IF(AND(N69&gt;500,N69&lt;=1000),N69*0.7%,IF(AND(N69&gt;200,N69&lt;=500),N69*0.8%,IF(AND(N69&gt;100,N69&lt;=200),N69*0.9%,IF(AND(N69&gt;50,N69&lt;=100),N69*1%,IF(AND(N69&gt;20,N69&lt;=50),N69*1.5%,IF(AND(N69&gt;10,N69&lt;=20),N69*2%,IF(AND(N69&gt;1,N69&lt;=10),N69*2.5%)))))))))</f>
        <v>796.4</v>
      </c>
      <c r="N84" s="53">
        <f t="shared" ref="N84:N85" ca="1" si="2">ROUND(M84,1)</f>
        <v>796.4</v>
      </c>
      <c r="O84" s="2014" t="s">
        <v>2876</v>
      </c>
      <c r="P84" s="3231">
        <f ca="1">N68-O77</f>
        <v>110282</v>
      </c>
      <c r="Q84" s="2014"/>
      <c r="R84" s="2014"/>
      <c r="S84" s="2014"/>
      <c r="T84" s="2014"/>
      <c r="U84" s="2014"/>
      <c r="V84" s="2014"/>
    </row>
    <row r="85" spans="1:26" ht="12.75">
      <c r="A85" s="381" t="s">
        <v>1827</v>
      </c>
      <c r="B85" s="382" t="s">
        <v>435</v>
      </c>
      <c r="C85" s="385">
        <f ca="1">C81-C84</f>
        <v>149695</v>
      </c>
      <c r="D85" s="378" t="s">
        <v>19</v>
      </c>
      <c r="E85" s="379"/>
      <c r="F85" s="42"/>
      <c r="G85" s="42"/>
      <c r="H85" s="1003"/>
      <c r="I85" s="311"/>
      <c r="J85" s="2014"/>
      <c r="K85" s="3320"/>
      <c r="L85" s="3018" t="s">
        <v>2877</v>
      </c>
      <c r="M85" s="3008">
        <f ca="1">IF(N69&gt;1000,N69*0.1%,IF(AND(N69&gt;500,N69&lt;=1000),N69*0.5%,IF(AND(N69&gt;50,N69&lt;=500),N69*1%,IF(AND(N69&gt;1,N69&lt;=50),N69*1.5%))))</f>
        <v>159.28</v>
      </c>
      <c r="N85" s="53">
        <f t="shared" ca="1" si="2"/>
        <v>159.30000000000001</v>
      </c>
      <c r="O85" s="2014" t="s">
        <v>2876</v>
      </c>
      <c r="P85" s="2014"/>
      <c r="Q85" s="2014"/>
      <c r="R85" s="2014"/>
      <c r="S85" s="2014"/>
      <c r="T85" s="2014"/>
      <c r="U85" s="2014"/>
      <c r="V85" s="2014"/>
    </row>
    <row r="86" spans="1:26" ht="13.5" thickBot="1">
      <c r="A86" s="386" t="s">
        <v>1828</v>
      </c>
      <c r="B86" s="387" t="s">
        <v>436</v>
      </c>
      <c r="C86" s="388">
        <f ca="1">IF(C85&lt;=0,0,ROUND(C85*D86,0))</f>
        <v>8383</v>
      </c>
      <c r="D86" s="389">
        <f>'数据-取费表'!B41</f>
        <v>5.6000000000000001E-2</v>
      </c>
      <c r="E86" s="390"/>
      <c r="F86" s="42"/>
      <c r="G86" s="42"/>
      <c r="H86" s="1003"/>
      <c r="I86" s="311"/>
      <c r="J86" s="2014"/>
      <c r="K86" s="3320"/>
      <c r="L86" s="3018" t="s">
        <v>2878</v>
      </c>
      <c r="M86" s="3008">
        <f ca="1">N69*0.5%</f>
        <v>796.4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8" t="s">
        <v>2880</v>
      </c>
      <c r="M87" s="3008">
        <f ca="1">IF(N69&gt;=10000,(8.25+(N69-10000)*0.01%),IF(AND(N69&gt;=8000,N69&lt;10000),(7.85+(N69-8000)*0.02%),IF(AND(N69&gt;=5000,N69&lt;8000),(6.65+(N69-5000)*0.04%),IF(AND(N69&gt;=2000,N69&lt;5000),(4.25+(PN69-2000)*0.08%),IF(AND(N69&gt;=1000,N69&lt;2000),(2.75+(N69-1000)*0.15%),IF(AND(N69&gt;=100,N69&lt;1000),(0.5+(N69-100)*0.25%),IF(AND(N69&gt;0,N69&lt;100),N69*0.5%)))))))</f>
        <v>23.178000000000001</v>
      </c>
      <c r="N87" s="53">
        <f ca="1">ROUND(M87*0.9,1)</f>
        <v>20.9</v>
      </c>
      <c r="O87" s="3011"/>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20"/>
      <c r="L88" s="3018" t="s">
        <v>2881</v>
      </c>
      <c r="M88" s="3008">
        <f ca="1">IF(N69&gt;10000,N69*0.5%,IF(AND(N69&gt;5000,N69&lt;=10000),N69*1%,IF(AND(N69&gt;1000,N69&lt;=5000),N69*2%,IF(AND(N69&gt;200,N69&lt;=1000),N69*3%,N69*5%))))</f>
        <v>796.4</v>
      </c>
      <c r="N88" s="53">
        <f ca="1">ROUND(M88,1)</f>
        <v>796.4</v>
      </c>
      <c r="O88" s="3011"/>
      <c r="P88" s="11"/>
      <c r="Q88" s="2019"/>
      <c r="R88" s="2019"/>
      <c r="S88" s="2019"/>
      <c r="T88" s="2019"/>
      <c r="U88" s="2019"/>
      <c r="V88" s="2019"/>
      <c r="W88" s="2023"/>
      <c r="X88" s="2023"/>
      <c r="Y88" s="2023"/>
      <c r="Z88" s="2023"/>
    </row>
    <row r="89" spans="1:26" s="1310" customFormat="1" ht="14.25">
      <c r="A89" s="3338" t="s">
        <v>428</v>
      </c>
      <c r="B89" s="3339"/>
      <c r="C89" s="994"/>
      <c r="D89" s="994" t="s">
        <v>429</v>
      </c>
      <c r="E89" s="391" t="s">
        <v>438</v>
      </c>
      <c r="F89" s="392"/>
      <c r="G89" s="392"/>
      <c r="H89" s="393"/>
      <c r="I89" s="1312"/>
      <c r="J89" s="2024"/>
      <c r="K89" s="3320"/>
      <c r="L89" s="3018" t="s">
        <v>27</v>
      </c>
      <c r="M89" s="3009"/>
      <c r="N89" s="53">
        <f ca="1">ROUND(SUM(N83:N88),0)</f>
        <v>2570</v>
      </c>
      <c r="O89" s="3019">
        <f ca="1">N89/N69</f>
        <v>1.6135107985936717E-2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151695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3471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910</v>
      </c>
      <c r="D96" s="406">
        <f>'数据-取费表'!B43</f>
        <v>6.000000000000001E-3</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148224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42.703543647363873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87720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151695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54499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48717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1442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64" t="s">
        <v>462</v>
      </c>
      <c r="F109" s="3362"/>
      <c r="G109" s="3362"/>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4872</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910</v>
      </c>
      <c r="D111" s="406">
        <f>'数据-取费表'!B43</f>
        <v>6.000000000000001E-3</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97196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1.7834455678085837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40423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D16" sqref="D1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157048</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6405</v>
      </c>
      <c r="C3" s="2090"/>
      <c r="D3" s="2090"/>
      <c r="E3" s="2090"/>
      <c r="F3" s="2090"/>
      <c r="G3" s="2090"/>
      <c r="H3" s="2090"/>
      <c r="I3" s="2090"/>
      <c r="J3" s="2090"/>
      <c r="K3" s="2090"/>
    </row>
    <row r="4" spans="1:31" s="2027" customFormat="1" ht="18" customHeight="1">
      <c r="A4" s="426" t="s">
        <v>468</v>
      </c>
      <c r="B4" s="427">
        <f ca="1">ROUND(B2*10000/IF(B1="",'数据-汇总表'!D3,INDIRECT("'数据-取费表'!R"&amp;$K$1)),0)</f>
        <v>41165</v>
      </c>
      <c r="C4" s="428"/>
      <c r="D4" s="422"/>
      <c r="E4" s="422"/>
      <c r="F4" s="422"/>
      <c r="G4" s="422"/>
      <c r="H4" s="422"/>
      <c r="I4" s="422"/>
      <c r="J4" s="422"/>
      <c r="K4" s="422"/>
    </row>
    <row r="5" spans="1:31" s="2027" customFormat="1" ht="18" customHeight="1" thickBot="1">
      <c r="A5" s="429"/>
      <c r="B5" s="430">
        <f ca="1">ROUND(B2/(IF(B1="",'数据-汇总表'!D3,INDIRECT("'数据-取费表'!R"&amp;$K$1))/666.67),0)</f>
        <v>2744</v>
      </c>
      <c r="C5" s="431" t="s">
        <v>469</v>
      </c>
      <c r="D5" s="422"/>
      <c r="E5" s="422"/>
      <c r="F5" s="422"/>
      <c r="G5" s="422"/>
      <c r="H5" s="422"/>
      <c r="I5" s="422"/>
      <c r="J5" s="422"/>
      <c r="K5" s="422"/>
    </row>
    <row r="6" spans="1:31" s="2097" customFormat="1" ht="16.5" customHeight="1">
      <c r="A6" s="2784" t="s">
        <v>1842</v>
      </c>
      <c r="B6" s="2785"/>
      <c r="C6" s="2786">
        <f ca="1">SUM(C10:K10)</f>
        <v>314614</v>
      </c>
      <c r="D6" s="2785"/>
      <c r="E6" s="2785"/>
      <c r="F6" s="2785"/>
      <c r="G6" s="2785"/>
      <c r="H6" s="2785"/>
      <c r="I6" s="2785"/>
      <c r="J6" s="2785"/>
      <c r="K6" s="2787"/>
    </row>
    <row r="7" spans="1:31" s="2099" customFormat="1" ht="15">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23976</v>
      </c>
      <c r="E8" s="2790">
        <f ca="1">'不动产收益法 (车库'!B3</f>
        <v>370</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11501</v>
      </c>
      <c r="E10" s="2982">
        <f ca="1">'不动产收益法 (车库'!B2</f>
        <v>1897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3538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16779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94799</v>
      </c>
      <c r="D30" s="477">
        <f ca="1">C32</f>
        <v>0.12909999999999999</v>
      </c>
      <c r="E30" s="469" t="s">
        <v>495</v>
      </c>
      <c r="F30" s="471"/>
      <c r="G30" s="2776" t="s">
        <v>2972</v>
      </c>
      <c r="H30" s="2769"/>
      <c r="I30" s="2769"/>
      <c r="J30" s="2769"/>
      <c r="K30" s="2770"/>
    </row>
    <row r="31" spans="1:14" s="2106" customFormat="1" ht="13.5" customHeight="1">
      <c r="A31" s="803" t="s">
        <v>1856</v>
      </c>
      <c r="B31" s="2814"/>
      <c r="C31" s="450">
        <f ca="1">C18+C19+C20+C23+C24+C26+C29</f>
        <v>94799</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13407</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13407</v>
      </c>
      <c r="D35" s="1615"/>
      <c r="E35" s="2820"/>
      <c r="F35" s="1616"/>
      <c r="G35" s="2778"/>
      <c r="H35" s="2779"/>
      <c r="I35" s="2779"/>
      <c r="J35" s="2779"/>
      <c r="K35" s="2780"/>
    </row>
    <row r="36" spans="1:11" s="2071" customFormat="1" ht="13.5" customHeight="1" thickBot="1">
      <c r="A36" s="284" t="s">
        <v>1844</v>
      </c>
      <c r="B36" s="2782"/>
      <c r="C36" s="2821">
        <f ca="1">ROUND((C6-C30-C33)/(1+D30+D33),0)</f>
        <v>157048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k5雅苑出让国有建设用地使用权抵押价格预评估</v>
      </c>
      <c r="C37" s="3232"/>
      <c r="D37" s="3232"/>
      <c r="E37" s="3232"/>
      <c r="F37" s="3232"/>
      <c r="G37" s="3232"/>
      <c r="H37" s="3232"/>
      <c r="I37" s="3232"/>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8" sqref="E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161512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42335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2822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0.25">
      <c r="A7" s="515"/>
      <c r="B7" s="516"/>
      <c r="C7" s="3430" t="s">
        <v>2929</v>
      </c>
      <c r="D7" s="3431"/>
      <c r="E7" s="3430" t="str">
        <f>土地案例!A3</f>
        <v>洪山区雄楚大道与珞狮南路交汇处西南部</v>
      </c>
      <c r="F7" s="3431"/>
      <c r="G7" s="3430" t="str">
        <f>土地案例!A16</f>
        <v>洪山区青菱西路以东、白沙五路以南、滨河路以北</v>
      </c>
      <c r="H7" s="3431"/>
      <c r="I7" s="3430" t="str">
        <f>土地案例!A13</f>
        <v>洪山区南湖北岸、卓刀泉南路以西</v>
      </c>
      <c r="J7" s="3431"/>
      <c r="K7" s="514"/>
      <c r="L7" s="2119"/>
      <c r="M7" s="2118"/>
      <c r="N7" s="2118"/>
      <c r="O7" s="2120"/>
      <c r="P7" s="3423"/>
      <c r="Q7" s="3424"/>
      <c r="R7" s="3409"/>
      <c r="S7" s="3410"/>
      <c r="T7" s="3409"/>
      <c r="U7" s="3410"/>
      <c r="V7" s="3427"/>
      <c r="W7" s="3427"/>
      <c r="X7" s="1554"/>
      <c r="Y7" s="3409"/>
      <c r="Z7" s="3410"/>
      <c r="AA7" s="3403"/>
      <c r="AB7" s="3403"/>
      <c r="AC7" s="3403"/>
    </row>
    <row r="8" spans="1:30" ht="21" thickBot="1">
      <c r="A8" s="515"/>
      <c r="B8" s="516"/>
      <c r="C8" s="3432" t="s">
        <v>2933</v>
      </c>
      <c r="D8" s="3433"/>
      <c r="E8" s="3432" t="s">
        <v>2933</v>
      </c>
      <c r="F8" s="3433"/>
      <c r="G8" s="3428" t="s">
        <v>2933</v>
      </c>
      <c r="H8" s="3429"/>
      <c r="I8" s="3428" t="s">
        <v>2933</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 thickBot="1">
      <c r="A9" s="2868"/>
      <c r="B9" s="2875" t="s">
        <v>529</v>
      </c>
      <c r="C9" s="2867">
        <f>'数据-取费表'!B2</f>
        <v>43650</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05" t="s">
        <v>530</v>
      </c>
      <c r="Q9" s="3414"/>
      <c r="R9" s="1555" t="s">
        <v>8</v>
      </c>
      <c r="S9" s="1556">
        <f t="shared" ref="S9:S17" si="0">F9</f>
        <v>99</v>
      </c>
      <c r="T9" s="1555" t="s">
        <v>8</v>
      </c>
      <c r="U9" s="1556">
        <f t="shared" ref="U9:U17" si="1">H9</f>
        <v>94</v>
      </c>
      <c r="V9" s="1555" t="s">
        <v>8</v>
      </c>
      <c r="W9" s="1556">
        <f t="shared" ref="W9:W17" si="2">J9</f>
        <v>94</v>
      </c>
      <c r="X9" s="1557"/>
      <c r="Y9" s="3405" t="s">
        <v>530</v>
      </c>
      <c r="Z9" s="3406"/>
      <c r="AA9" s="1558">
        <f>D9/F9</f>
        <v>1.0101010101010102</v>
      </c>
      <c r="AB9" s="1558">
        <f>D9/H9</f>
        <v>1.0638297872340425</v>
      </c>
      <c r="AC9" s="1558">
        <f>D9/J9</f>
        <v>1.0638297872340425</v>
      </c>
    </row>
    <row r="10" spans="1:30" s="1216" customFormat="1" ht="21"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05" t="s">
        <v>533</v>
      </c>
      <c r="Q10" s="3406"/>
      <c r="R10" s="1555" t="s">
        <v>8</v>
      </c>
      <c r="S10" s="1556">
        <f t="shared" si="0"/>
        <v>100</v>
      </c>
      <c r="T10" s="1555" t="s">
        <v>8</v>
      </c>
      <c r="U10" s="1556">
        <f t="shared" si="1"/>
        <v>100</v>
      </c>
      <c r="V10" s="1555" t="s">
        <v>8</v>
      </c>
      <c r="W10" s="1556">
        <f t="shared" si="2"/>
        <v>100</v>
      </c>
      <c r="X10" s="1557"/>
      <c r="Y10" s="3405" t="s">
        <v>533</v>
      </c>
      <c r="Z10" s="3406"/>
      <c r="AA10" s="1558">
        <f t="shared" ref="AA10:AA47" si="3">D10/F10</f>
        <v>1</v>
      </c>
      <c r="AB10" s="1558">
        <f t="shared" ref="AB10:AB47" si="4">D10/H10</f>
        <v>1</v>
      </c>
      <c r="AC10" s="1558">
        <f t="shared" ref="AC10:AC47" si="5">D10/J10</f>
        <v>1</v>
      </c>
    </row>
    <row r="11" spans="1:30" s="1216" customFormat="1" ht="20.25">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13" t="s">
        <v>535</v>
      </c>
      <c r="Q11" s="1147" t="str">
        <f t="shared" ref="Q11:Q17" si="6">B11</f>
        <v>用途</v>
      </c>
      <c r="R11" s="1555" t="s">
        <v>8</v>
      </c>
      <c r="S11" s="1556">
        <f t="shared" si="0"/>
        <v>95</v>
      </c>
      <c r="T11" s="1555" t="s">
        <v>8</v>
      </c>
      <c r="U11" s="1556">
        <f t="shared" si="1"/>
        <v>95</v>
      </c>
      <c r="V11" s="1555" t="s">
        <v>8</v>
      </c>
      <c r="W11" s="1556">
        <f t="shared" si="2"/>
        <v>100</v>
      </c>
      <c r="X11" s="1557"/>
      <c r="Y11" s="3370" t="s">
        <v>536</v>
      </c>
      <c r="Z11" s="1146" t="str">
        <f t="shared" ref="Z11:Z17" si="7">Q11</f>
        <v>用途</v>
      </c>
      <c r="AA11" s="1558">
        <f t="shared" si="3"/>
        <v>1.0526315789473684</v>
      </c>
      <c r="AB11" s="1558">
        <f t="shared" si="4"/>
        <v>1.0526315789473684</v>
      </c>
      <c r="AC11" s="1558">
        <f t="shared" si="5"/>
        <v>1</v>
      </c>
    </row>
    <row r="12" spans="1:30" s="1334" customFormat="1" ht="27">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30" ht="20.25">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13"/>
      <c r="Q13" s="1147" t="str">
        <f t="shared" si="6"/>
        <v>容积率</v>
      </c>
      <c r="R13" s="1555" t="s">
        <v>8</v>
      </c>
      <c r="S13" s="1556">
        <f t="shared" si="0"/>
        <v>100</v>
      </c>
      <c r="T13" s="1555" t="s">
        <v>8</v>
      </c>
      <c r="U13" s="1556">
        <f t="shared" si="1"/>
        <v>104</v>
      </c>
      <c r="V13" s="1555" t="s">
        <v>8</v>
      </c>
      <c r="W13" s="1556">
        <f t="shared" si="2"/>
        <v>102</v>
      </c>
      <c r="X13" s="1557"/>
      <c r="Y13" s="3370"/>
      <c r="Z13" s="1146" t="str">
        <f t="shared" si="7"/>
        <v>容积率</v>
      </c>
      <c r="AA13" s="1558">
        <f t="shared" si="3"/>
        <v>1</v>
      </c>
      <c r="AB13" s="1558">
        <f t="shared" si="4"/>
        <v>0.96153846153846156</v>
      </c>
      <c r="AC13" s="1558">
        <f t="shared" si="5"/>
        <v>0.98039215686274506</v>
      </c>
    </row>
    <row r="14" spans="1:30" s="1216" customFormat="1" ht="20.25">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15" t="s">
        <v>540</v>
      </c>
      <c r="Q17" s="1559" t="str">
        <f t="shared" si="6"/>
        <v>居住社区成熟度</v>
      </c>
      <c r="R17" s="1560" t="s">
        <v>8</v>
      </c>
      <c r="S17" s="1561">
        <f t="shared" si="0"/>
        <v>100</v>
      </c>
      <c r="T17" s="1560" t="s">
        <v>8</v>
      </c>
      <c r="U17" s="1561">
        <f t="shared" si="1"/>
        <v>98</v>
      </c>
      <c r="V17" s="1560" t="s">
        <v>8</v>
      </c>
      <c r="W17" s="1561">
        <f t="shared" si="2"/>
        <v>100</v>
      </c>
      <c r="X17" s="1554"/>
      <c r="Y17" s="3415" t="s">
        <v>540</v>
      </c>
      <c r="Z17" s="1562" t="str">
        <f t="shared" si="7"/>
        <v>居住社区成熟度</v>
      </c>
      <c r="AA17" s="1563">
        <f t="shared" si="3"/>
        <v>1</v>
      </c>
      <c r="AB17" s="1563">
        <f t="shared" si="4"/>
        <v>1.0204081632653061</v>
      </c>
      <c r="AC17" s="1563">
        <f t="shared" si="5"/>
        <v>1</v>
      </c>
    </row>
    <row r="18" spans="1:29" ht="20.25">
      <c r="A18" s="532"/>
      <c r="B18" s="553"/>
      <c r="C18" s="554" t="s">
        <v>3139</v>
      </c>
      <c r="D18" s="557"/>
      <c r="E18" s="558" t="s">
        <v>3139</v>
      </c>
      <c r="F18" s="555"/>
      <c r="G18" s="556" t="s">
        <v>3165</v>
      </c>
      <c r="H18" s="559"/>
      <c r="I18" s="558" t="s">
        <v>3139</v>
      </c>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0.25">
      <c r="A20" s="532"/>
      <c r="B20" s="566"/>
      <c r="C20" s="567" t="s">
        <v>3139</v>
      </c>
      <c r="D20" s="563"/>
      <c r="E20" s="569" t="s">
        <v>3139</v>
      </c>
      <c r="F20" s="559"/>
      <c r="G20" s="568" t="s">
        <v>3139</v>
      </c>
      <c r="H20" s="555"/>
      <c r="I20" s="569" t="s">
        <v>3139</v>
      </c>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16"/>
      <c r="Q23" s="1559" t="str">
        <f>B23</f>
        <v>交通便捷度</v>
      </c>
      <c r="R23" s="1560" t="s">
        <v>8</v>
      </c>
      <c r="S23" s="1561">
        <f>F23</f>
        <v>100</v>
      </c>
      <c r="T23" s="1560" t="s">
        <v>8</v>
      </c>
      <c r="U23" s="1561">
        <f>H23</f>
        <v>98</v>
      </c>
      <c r="V23" s="1560" t="s">
        <v>8</v>
      </c>
      <c r="W23" s="1561">
        <f>J23</f>
        <v>100</v>
      </c>
      <c r="X23" s="1554"/>
      <c r="Y23" s="3416"/>
      <c r="Z23" s="1562" t="str">
        <f>Q23</f>
        <v>交通便捷度</v>
      </c>
      <c r="AA23" s="1563">
        <f t="shared" si="3"/>
        <v>1</v>
      </c>
      <c r="AB23" s="1563">
        <f t="shared" si="4"/>
        <v>1.0204081632653061</v>
      </c>
      <c r="AC23" s="1563">
        <f t="shared" si="5"/>
        <v>1</v>
      </c>
    </row>
    <row r="24" spans="1:29" ht="20.25">
      <c r="A24" s="532"/>
      <c r="B24" s="578"/>
      <c r="C24" s="554" t="s">
        <v>3139</v>
      </c>
      <c r="D24" s="557"/>
      <c r="E24" s="558" t="s">
        <v>3139</v>
      </c>
      <c r="F24" s="555"/>
      <c r="G24" s="556" t="s">
        <v>3165</v>
      </c>
      <c r="H24" s="555"/>
      <c r="I24" s="558" t="s">
        <v>3139</v>
      </c>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0.25">
      <c r="A28" s="515"/>
      <c r="B28" s="566"/>
      <c r="C28" s="554" t="s">
        <v>3139</v>
      </c>
      <c r="D28" s="557"/>
      <c r="E28" s="576" t="s">
        <v>3139</v>
      </c>
      <c r="F28" s="555"/>
      <c r="G28" s="554" t="s">
        <v>3139</v>
      </c>
      <c r="H28" s="555"/>
      <c r="I28" s="576" t="s">
        <v>3139</v>
      </c>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16"/>
      <c r="Q29" s="1147" t="str">
        <f t="shared" si="8"/>
        <v>公共配套设施</v>
      </c>
      <c r="R29" s="1555" t="s">
        <v>8</v>
      </c>
      <c r="S29" s="1556">
        <f>F29</f>
        <v>100</v>
      </c>
      <c r="T29" s="1555" t="s">
        <v>8</v>
      </c>
      <c r="U29" s="1556">
        <f>H29</f>
        <v>100</v>
      </c>
      <c r="V29" s="1555" t="s">
        <v>8</v>
      </c>
      <c r="W29" s="1556">
        <f>J29</f>
        <v>102</v>
      </c>
      <c r="X29" s="1557"/>
      <c r="Y29" s="3416"/>
      <c r="Z29" s="1146" t="str">
        <f>Q29</f>
        <v>公共配套设施</v>
      </c>
      <c r="AA29" s="1563">
        <f>D29/F29</f>
        <v>1</v>
      </c>
      <c r="AB29" s="1563">
        <f>D29/H29</f>
        <v>1</v>
      </c>
      <c r="AC29" s="1563">
        <f>D29/J29</f>
        <v>0.98039215686274506</v>
      </c>
    </row>
    <row r="30" spans="1:29" s="1216" customFormat="1" ht="20.25">
      <c r="A30" s="577"/>
      <c r="B30" s="566"/>
      <c r="C30" s="579" t="s">
        <v>3139</v>
      </c>
      <c r="D30" s="557"/>
      <c r="E30" s="576" t="s">
        <v>3139</v>
      </c>
      <c r="F30" s="555"/>
      <c r="G30" s="554" t="s">
        <v>3139</v>
      </c>
      <c r="H30" s="555"/>
      <c r="I30" s="576" t="s">
        <v>3140</v>
      </c>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0.25">
      <c r="A32" s="577"/>
      <c r="B32" s="566"/>
      <c r="C32" s="579" t="s">
        <v>3141</v>
      </c>
      <c r="D32" s="557"/>
      <c r="E32" s="2557" t="s">
        <v>3141</v>
      </c>
      <c r="F32" s="555"/>
      <c r="G32" s="579" t="s">
        <v>3141</v>
      </c>
      <c r="H32" s="555"/>
      <c r="I32" s="579" t="s">
        <v>3141</v>
      </c>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0.25">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0.25">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18"/>
      <c r="Q40" s="1559" t="str">
        <f>B40</f>
        <v>宗地面积</v>
      </c>
      <c r="R40" s="1560" t="s">
        <v>8</v>
      </c>
      <c r="S40" s="1561">
        <f t="shared" si="10"/>
        <v>101</v>
      </c>
      <c r="T40" s="1560" t="s">
        <v>8</v>
      </c>
      <c r="U40" s="1561">
        <f t="shared" si="11"/>
        <v>101</v>
      </c>
      <c r="V40" s="1560" t="s">
        <v>8</v>
      </c>
      <c r="W40" s="1561">
        <f t="shared" si="12"/>
        <v>104</v>
      </c>
      <c r="X40" s="1554"/>
      <c r="Y40" s="3418"/>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0.25">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0.25">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0.25">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18"/>
      <c r="Q45" s="1559" t="str">
        <f t="shared" si="14"/>
        <v>限地价</v>
      </c>
      <c r="R45" s="1560" t="s">
        <v>8</v>
      </c>
      <c r="S45" s="1561">
        <f t="shared" si="10"/>
        <v>90</v>
      </c>
      <c r="T45" s="1560" t="s">
        <v>8</v>
      </c>
      <c r="U45" s="1561">
        <f t="shared" si="11"/>
        <v>100</v>
      </c>
      <c r="V45" s="1560" t="s">
        <v>8</v>
      </c>
      <c r="W45" s="1561">
        <f t="shared" si="12"/>
        <v>100</v>
      </c>
      <c r="X45" s="1554"/>
      <c r="Y45" s="3418"/>
      <c r="Z45" s="1562" t="str">
        <f t="shared" si="13"/>
        <v>限地价</v>
      </c>
      <c r="AA45" s="1563">
        <f t="shared" si="3"/>
        <v>1.1111111111111112</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0.25">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13" t="str">
        <f>A48</f>
        <v>成交单价</v>
      </c>
      <c r="Q48" s="3413"/>
      <c r="R48" s="3427">
        <f>E48</f>
        <v>7812.39</v>
      </c>
      <c r="S48" s="3427"/>
      <c r="T48" s="3427">
        <f>G48</f>
        <v>8389.84</v>
      </c>
      <c r="U48" s="3427"/>
      <c r="V48" s="3427">
        <f>I48</f>
        <v>7747</v>
      </c>
      <c r="W48" s="3427"/>
      <c r="X48" s="1546"/>
      <c r="Y48" s="1568"/>
      <c r="Z48" s="1546"/>
      <c r="AA48" s="1546"/>
      <c r="AB48" s="1546"/>
      <c r="AC48" s="1546"/>
    </row>
    <row r="49" spans="1:29" ht="21" thickBot="1">
      <c r="A49" s="615" t="s">
        <v>2692</v>
      </c>
      <c r="B49" s="616"/>
      <c r="C49" s="617">
        <f>R50</f>
        <v>8689</v>
      </c>
      <c r="D49" s="618"/>
      <c r="E49" s="617">
        <f>R49</f>
        <v>9138</v>
      </c>
      <c r="F49" s="619"/>
      <c r="G49" s="620">
        <f>T49</f>
        <v>9313</v>
      </c>
      <c r="H49" s="618"/>
      <c r="I49" s="617">
        <f>V49</f>
        <v>7617</v>
      </c>
      <c r="J49" s="618"/>
      <c r="K49" s="1337"/>
      <c r="L49" s="2130"/>
      <c r="M49" s="2118"/>
      <c r="N49" s="2118"/>
      <c r="O49" s="2131"/>
      <c r="P49" s="3413" t="str">
        <f>A49</f>
        <v>比较价格（元/平方米）</v>
      </c>
      <c r="Q49" s="3413"/>
      <c r="R49" s="3437">
        <f>ROUND(PRODUCT(R48,AA9:AA47),0)</f>
        <v>9138</v>
      </c>
      <c r="S49" s="3437"/>
      <c r="T49" s="3437">
        <f>ROUND(PRODUCT(T48,AB9:AB47),0)</f>
        <v>9313</v>
      </c>
      <c r="U49" s="3437"/>
      <c r="V49" s="3437">
        <f>ROUND(PRODUCT(V48,AC9:AC47),0)</f>
        <v>7617</v>
      </c>
      <c r="W49" s="3437"/>
      <c r="X49" s="1546"/>
      <c r="Y49" s="1546"/>
      <c r="Z49" s="1546"/>
      <c r="AA49" s="1546"/>
      <c r="AB49" s="1546"/>
      <c r="AC49" s="1546"/>
    </row>
    <row r="50" spans="1:29" ht="21" thickBot="1">
      <c r="A50" s="621" t="s">
        <v>2935</v>
      </c>
      <c r="B50" s="622"/>
      <c r="C50" s="623">
        <f>R50</f>
        <v>8689</v>
      </c>
      <c r="D50" s="623"/>
      <c r="E50" s="623"/>
      <c r="F50" s="623"/>
      <c r="G50" s="623"/>
      <c r="H50" s="623"/>
      <c r="I50" s="623"/>
      <c r="J50" s="623"/>
      <c r="K50" s="1338"/>
      <c r="L50" s="2130"/>
      <c r="M50" s="2118"/>
      <c r="N50" s="2118"/>
      <c r="O50" s="2131"/>
      <c r="P50" s="3434" t="str">
        <f>A50</f>
        <v>估价对象XX用房的比较价格（楼面单价，元/平方米）</v>
      </c>
      <c r="Q50" s="3435"/>
      <c r="R50" s="3436">
        <f>ROUND(AVERAGE(R49:V49),0)</f>
        <v>8689</v>
      </c>
      <c r="S50" s="3436"/>
      <c r="T50" s="3436"/>
      <c r="U50" s="3436"/>
      <c r="V50" s="3436"/>
      <c r="W50" s="343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0.11003308763933517</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1.9150798861895302E-2</v>
      </c>
      <c r="F54" s="627" t="str">
        <f>IF(OR(E54&gt;=0.2,E54&lt;=-0.2),"超过20%","")</f>
        <v/>
      </c>
      <c r="G54" s="626">
        <f>IF(G49&lt;I49,I49/G49-1,G49/I49-1)</f>
        <v>0.22265983983195481</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8689</v>
      </c>
      <c r="C58" s="635">
        <v>1</v>
      </c>
      <c r="D58" s="2214">
        <v>1</v>
      </c>
      <c r="E58" s="635">
        <f>'数据-汇总表'!E8+'数据-汇总表'!E9</f>
        <v>185881.35</v>
      </c>
      <c r="F58" s="636">
        <f t="shared" ref="F58:F67" si="15">ROUND(B58*E58/10000,0)</f>
        <v>161512</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237163.33990375421</v>
      </c>
      <c r="F68" s="644">
        <f>IF(B48="楼面地价",SUM(F58:F67),ROUND(C50*E68/10000,0))</f>
        <v>161512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ht="15">
      <c r="A7" s="515"/>
      <c r="B7" s="516"/>
      <c r="C7" s="3430" t="s">
        <v>2929</v>
      </c>
      <c r="D7" s="3431"/>
      <c r="E7" s="3445" t="s">
        <v>2930</v>
      </c>
      <c r="F7" s="3446"/>
      <c r="G7" s="3430" t="s">
        <v>2931</v>
      </c>
      <c r="H7" s="3431"/>
      <c r="I7" s="3430" t="s">
        <v>2932</v>
      </c>
      <c r="J7" s="3431"/>
      <c r="K7" s="514"/>
      <c r="L7" s="2119"/>
      <c r="M7" s="2120"/>
      <c r="N7" s="2120"/>
      <c r="O7" s="2120"/>
      <c r="P7" s="3423"/>
      <c r="Q7" s="3424"/>
      <c r="R7" s="3409"/>
      <c r="S7" s="3410"/>
      <c r="T7" s="3409"/>
      <c r="U7" s="3410"/>
      <c r="V7" s="3427"/>
      <c r="W7" s="3427"/>
      <c r="X7" s="1554"/>
      <c r="Y7" s="3409"/>
      <c r="Z7" s="3410"/>
      <c r="AA7" s="3403"/>
      <c r="AB7" s="3403"/>
      <c r="AC7" s="3403"/>
    </row>
    <row r="8" spans="1:29" ht="15.75" thickBot="1">
      <c r="A8" s="517"/>
      <c r="B8" s="518"/>
      <c r="C8" s="3428" t="s">
        <v>2933</v>
      </c>
      <c r="D8" s="3429"/>
      <c r="E8" s="3447" t="s">
        <v>2933</v>
      </c>
      <c r="F8" s="3448"/>
      <c r="G8" s="3428" t="s">
        <v>2933</v>
      </c>
      <c r="H8" s="3429"/>
      <c r="I8" s="3428" t="s">
        <v>2933</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75" thickBot="1">
      <c r="A9" s="2868"/>
      <c r="B9" s="2875"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5">
      <c r="A43" s="607" t="s">
        <v>556</v>
      </c>
      <c r="B43" s="608" t="s">
        <v>2934</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185881.35</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1" t="s">
        <v>2782</v>
      </c>
      <c r="X8" s="346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6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9" t="s">
        <v>1639</v>
      </c>
      <c r="B110" s="3449"/>
      <c r="C110" s="3449"/>
      <c r="D110" s="3449"/>
      <c r="E110" s="3449"/>
      <c r="F110" s="3449"/>
      <c r="G110" s="3449"/>
      <c r="H110" s="3449"/>
      <c r="I110" s="3449"/>
      <c r="J110" s="3449"/>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6" t="s">
        <v>1501</v>
      </c>
      <c r="C61" s="1064" t="s">
        <v>1502</v>
      </c>
      <c r="D61" s="1064" t="s">
        <v>1503</v>
      </c>
      <c r="E61" s="1135">
        <v>0.5</v>
      </c>
      <c r="F61" s="1150">
        <v>80</v>
      </c>
      <c r="H61" s="1101">
        <f>SUMIF(C59:C119,基准地价!C8,E59:E119)</f>
        <v>0</v>
      </c>
    </row>
    <row r="62" spans="1:8" s="1101" customFormat="1" ht="24">
      <c r="A62" s="1150">
        <v>2</v>
      </c>
      <c r="B62" s="3456"/>
      <c r="C62" s="1064" t="s">
        <v>1504</v>
      </c>
      <c r="D62" s="1064" t="s">
        <v>1505</v>
      </c>
      <c r="E62" s="1135">
        <v>0.5</v>
      </c>
      <c r="F62" s="1150">
        <v>80</v>
      </c>
    </row>
    <row r="63" spans="1:8" s="1101" customFormat="1" ht="36">
      <c r="A63" s="1150">
        <v>3</v>
      </c>
      <c r="B63" s="3456"/>
      <c r="C63" s="1064" t="s">
        <v>1506</v>
      </c>
      <c r="D63" s="1064" t="s">
        <v>1507</v>
      </c>
      <c r="E63" s="1135">
        <v>0.5</v>
      </c>
      <c r="F63" s="1150">
        <v>80</v>
      </c>
    </row>
    <row r="64" spans="1:8" s="1101" customFormat="1" ht="36">
      <c r="A64" s="1150">
        <v>4</v>
      </c>
      <c r="B64" s="3456"/>
      <c r="C64" s="1064" t="s">
        <v>1508</v>
      </c>
      <c r="D64" s="1064" t="s">
        <v>1509</v>
      </c>
      <c r="E64" s="1135">
        <v>0.4</v>
      </c>
      <c r="F64" s="1150">
        <v>60</v>
      </c>
    </row>
    <row r="65" spans="1:6" s="1101" customFormat="1" ht="36">
      <c r="A65" s="1150">
        <v>5</v>
      </c>
      <c r="B65" s="3456"/>
      <c r="C65" s="1064" t="s">
        <v>1510</v>
      </c>
      <c r="D65" s="1064" t="s">
        <v>1511</v>
      </c>
      <c r="E65" s="1135">
        <v>0.2</v>
      </c>
      <c r="F65" s="1150">
        <v>30</v>
      </c>
    </row>
    <row r="66" spans="1:6" s="1101" customFormat="1" ht="36">
      <c r="A66" s="1150">
        <v>6</v>
      </c>
      <c r="B66" s="3456"/>
      <c r="C66" s="1064" t="s">
        <v>1512</v>
      </c>
      <c r="D66" s="1064" t="s">
        <v>1513</v>
      </c>
      <c r="E66" s="1135">
        <v>0.3</v>
      </c>
      <c r="F66" s="1150">
        <v>50</v>
      </c>
    </row>
    <row r="67" spans="1:6" s="1101" customFormat="1" ht="36">
      <c r="A67" s="1150">
        <v>7</v>
      </c>
      <c r="B67" s="3456"/>
      <c r="C67" s="1064" t="s">
        <v>1514</v>
      </c>
      <c r="D67" s="1064" t="s">
        <v>1515</v>
      </c>
      <c r="E67" s="1135">
        <v>0.2</v>
      </c>
      <c r="F67" s="1150">
        <v>30</v>
      </c>
    </row>
    <row r="68" spans="1:6" s="1101" customFormat="1" ht="36">
      <c r="A68" s="1150">
        <v>8</v>
      </c>
      <c r="B68" s="3456"/>
      <c r="C68" s="1064" t="s">
        <v>1516</v>
      </c>
      <c r="D68" s="1064" t="s">
        <v>1517</v>
      </c>
      <c r="E68" s="1135">
        <v>0.2</v>
      </c>
      <c r="F68" s="1150">
        <v>30</v>
      </c>
    </row>
    <row r="69" spans="1:6" s="1101" customFormat="1" ht="36">
      <c r="A69" s="1150">
        <v>9</v>
      </c>
      <c r="B69" s="3456"/>
      <c r="C69" s="1064" t="s">
        <v>1518</v>
      </c>
      <c r="D69" s="1064" t="s">
        <v>1519</v>
      </c>
      <c r="E69" s="1135">
        <v>0.2</v>
      </c>
      <c r="F69" s="1150">
        <v>30</v>
      </c>
    </row>
    <row r="70" spans="1:6" s="1101" customFormat="1" ht="48">
      <c r="A70" s="1150">
        <v>10</v>
      </c>
      <c r="B70" s="3456"/>
      <c r="C70" s="1064" t="s">
        <v>1520</v>
      </c>
      <c r="D70" s="1064" t="s">
        <v>1521</v>
      </c>
      <c r="E70" s="1135">
        <v>0.2</v>
      </c>
      <c r="F70" s="1150">
        <v>30</v>
      </c>
    </row>
    <row r="71" spans="1:6" s="1101" customFormat="1" ht="48">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24">
      <c r="A73" s="1150">
        <v>13</v>
      </c>
      <c r="B73" s="3456"/>
      <c r="C73" s="1064" t="s">
        <v>1526</v>
      </c>
      <c r="D73" s="1064" t="s">
        <v>1527</v>
      </c>
      <c r="E73" s="1135">
        <v>0.4</v>
      </c>
      <c r="F73" s="1150">
        <v>60</v>
      </c>
    </row>
    <row r="74" spans="1:6" s="1101" customFormat="1" ht="24">
      <c r="A74" s="1150">
        <v>14</v>
      </c>
      <c r="B74" s="3456"/>
      <c r="C74" s="1064" t="s">
        <v>1528</v>
      </c>
      <c r="D74" s="1064" t="s">
        <v>1529</v>
      </c>
      <c r="E74" s="1135">
        <v>0.2</v>
      </c>
      <c r="F74" s="1150">
        <v>30</v>
      </c>
    </row>
    <row r="75" spans="1:6" s="1101" customFormat="1" ht="24">
      <c r="A75" s="1150">
        <v>15</v>
      </c>
      <c r="B75" s="3456"/>
      <c r="C75" s="1064" t="s">
        <v>1530</v>
      </c>
      <c r="D75" s="1064" t="s">
        <v>1531</v>
      </c>
      <c r="E75" s="1135">
        <v>0.2</v>
      </c>
      <c r="F75" s="1150">
        <v>30</v>
      </c>
    </row>
    <row r="76" spans="1:6" s="1101" customFormat="1" ht="24">
      <c r="A76" s="1150">
        <v>16</v>
      </c>
      <c r="B76" s="3456" t="s">
        <v>1532</v>
      </c>
      <c r="C76" s="1064" t="s">
        <v>1533</v>
      </c>
      <c r="D76" s="1064" t="s">
        <v>1534</v>
      </c>
      <c r="E76" s="1135">
        <v>0.5</v>
      </c>
      <c r="F76" s="1150">
        <v>80</v>
      </c>
    </row>
    <row r="77" spans="1:6" s="1101" customFormat="1" ht="24">
      <c r="A77" s="1150">
        <v>17</v>
      </c>
      <c r="B77" s="3456"/>
      <c r="C77" s="1064" t="s">
        <v>1535</v>
      </c>
      <c r="D77" s="1064" t="s">
        <v>1536</v>
      </c>
      <c r="E77" s="1135">
        <v>0.5</v>
      </c>
      <c r="F77" s="1150">
        <v>80</v>
      </c>
    </row>
    <row r="78" spans="1:6" s="1101" customFormat="1" ht="24">
      <c r="A78" s="1150">
        <v>18</v>
      </c>
      <c r="B78" s="3456"/>
      <c r="C78" s="1064" t="s">
        <v>1537</v>
      </c>
      <c r="D78" s="1064" t="s">
        <v>1538</v>
      </c>
      <c r="E78" s="1135">
        <v>0.2</v>
      </c>
      <c r="F78" s="1150">
        <v>30</v>
      </c>
    </row>
    <row r="79" spans="1:6" s="1101" customFormat="1" ht="24">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48">
      <c r="A82" s="1150">
        <v>22</v>
      </c>
      <c r="B82" s="3456"/>
      <c r="C82" s="1064" t="s">
        <v>1545</v>
      </c>
      <c r="D82" s="1064" t="s">
        <v>1546</v>
      </c>
      <c r="E82" s="1135">
        <v>0.2</v>
      </c>
      <c r="F82" s="1150">
        <v>30</v>
      </c>
    </row>
    <row r="83" spans="1:6" s="1101" customFormat="1" ht="48">
      <c r="A83" s="1150">
        <v>23</v>
      </c>
      <c r="B83" s="3456"/>
      <c r="C83" s="1064" t="s">
        <v>1547</v>
      </c>
      <c r="D83" s="1064" t="s">
        <v>1548</v>
      </c>
      <c r="E83" s="1135">
        <v>0.2</v>
      </c>
      <c r="F83" s="1150">
        <v>30</v>
      </c>
    </row>
    <row r="84" spans="1:6" s="1101" customFormat="1" ht="36">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24">
      <c r="A89" s="1150">
        <v>29</v>
      </c>
      <c r="B89" s="3456"/>
      <c r="C89" s="1064" t="s">
        <v>1559</v>
      </c>
      <c r="D89" s="1064" t="s">
        <v>1560</v>
      </c>
      <c r="E89" s="1135">
        <v>0.2</v>
      </c>
      <c r="F89" s="1150">
        <v>30</v>
      </c>
    </row>
    <row r="90" spans="1:6" s="1101" customFormat="1" ht="24">
      <c r="A90" s="1150">
        <v>30</v>
      </c>
      <c r="B90" s="3456"/>
      <c r="C90" s="1064" t="s">
        <v>1561</v>
      </c>
      <c r="D90" s="1064" t="s">
        <v>1562</v>
      </c>
      <c r="E90" s="1135">
        <v>0.2</v>
      </c>
      <c r="F90" s="1150">
        <v>30</v>
      </c>
    </row>
    <row r="91" spans="1:6" s="1101" customFormat="1" ht="36">
      <c r="A91" s="1150">
        <v>31</v>
      </c>
      <c r="B91" s="3456"/>
      <c r="C91" s="1064" t="s">
        <v>1563</v>
      </c>
      <c r="D91" s="1064" t="s">
        <v>1564</v>
      </c>
      <c r="E91" s="1135">
        <v>0.2</v>
      </c>
      <c r="F91" s="1150">
        <v>30</v>
      </c>
    </row>
    <row r="92" spans="1:6" s="1101" customFormat="1" ht="24">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48">
      <c r="A94" s="1150">
        <v>34</v>
      </c>
      <c r="B94" s="3456"/>
      <c r="C94" s="1150" t="s">
        <v>1570</v>
      </c>
      <c r="D94" s="1064" t="s">
        <v>1571</v>
      </c>
      <c r="E94" s="1135">
        <v>0.2</v>
      </c>
      <c r="F94" s="1150">
        <v>30</v>
      </c>
    </row>
    <row r="95" spans="1:6" s="1101" customFormat="1" ht="36">
      <c r="A95" s="1150">
        <v>35</v>
      </c>
      <c r="B95" s="3456"/>
      <c r="C95" s="1150" t="s">
        <v>1572</v>
      </c>
      <c r="D95" s="1064" t="s">
        <v>1573</v>
      </c>
      <c r="E95" s="1135">
        <v>0.2</v>
      </c>
      <c r="F95" s="1150">
        <v>30</v>
      </c>
    </row>
    <row r="96" spans="1:6" s="1101" customFormat="1" ht="48">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24">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6" t="s">
        <v>1595</v>
      </c>
      <c r="C105" s="1150" t="s">
        <v>1596</v>
      </c>
      <c r="D105" s="1064" t="s">
        <v>1597</v>
      </c>
      <c r="E105" s="1135">
        <v>0.2</v>
      </c>
      <c r="F105" s="1150">
        <v>30</v>
      </c>
    </row>
    <row r="106" spans="1:6" s="1101" customFormat="1" ht="36">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36">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6" t="s">
        <v>1611</v>
      </c>
      <c r="C111" s="1150" t="s">
        <v>1612</v>
      </c>
      <c r="D111" s="1064" t="s">
        <v>1613</v>
      </c>
      <c r="E111" s="1135">
        <v>0.2</v>
      </c>
      <c r="F111" s="1150">
        <v>30</v>
      </c>
    </row>
    <row r="112" spans="1:6" s="1101" customFormat="1" ht="24">
      <c r="A112" s="1150">
        <v>52</v>
      </c>
      <c r="B112" s="3456"/>
      <c r="C112" s="1150" t="s">
        <v>1614</v>
      </c>
      <c r="D112" s="1064" t="s">
        <v>1615</v>
      </c>
      <c r="E112" s="1135">
        <v>0.2</v>
      </c>
      <c r="F112" s="1150">
        <v>30</v>
      </c>
    </row>
    <row r="113" spans="1:14" s="1101" customFormat="1" ht="24">
      <c r="A113" s="1150">
        <v>53</v>
      </c>
      <c r="B113" s="345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7" t="s">
        <v>2575</v>
      </c>
      <c r="C1" s="3477"/>
      <c r="D1" s="3477"/>
      <c r="E1" s="3477"/>
      <c r="F1" s="3477"/>
      <c r="G1" s="3476" t="s">
        <v>2576</v>
      </c>
      <c r="H1" s="3476"/>
      <c r="I1" s="3476"/>
      <c r="J1" s="3476"/>
      <c r="K1" s="3476"/>
      <c r="L1" s="3476"/>
      <c r="N1" s="3476" t="s">
        <v>2577</v>
      </c>
      <c r="O1" s="3476"/>
      <c r="P1" s="3476"/>
      <c r="Q1" s="3476"/>
      <c r="R1" s="2619"/>
      <c r="S1" s="3476" t="s">
        <v>2578</v>
      </c>
      <c r="T1" s="3476"/>
      <c r="U1" s="3476"/>
      <c r="V1" s="3476"/>
      <c r="X1" s="3475" t="s">
        <v>2638</v>
      </c>
      <c r="Y1" s="3476"/>
      <c r="Z1" s="3476"/>
      <c r="AA1" s="3476"/>
      <c r="AB1" s="3476"/>
      <c r="AD1" s="3475" t="s">
        <v>2642</v>
      </c>
      <c r="AE1" s="3476"/>
      <c r="AF1" s="3476"/>
      <c r="AG1" s="3476"/>
      <c r="AH1" s="3476"/>
    </row>
    <row r="2" spans="1:34" s="2720" customFormat="1" ht="14.2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25">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5"/>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8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85"/>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8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8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8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8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2582</v>
      </c>
      <c r="B27" s="2625">
        <v>299</v>
      </c>
      <c r="C27" s="2625">
        <v>252</v>
      </c>
      <c r="D27" s="2625">
        <f t="shared" si="76"/>
        <v>252</v>
      </c>
      <c r="E27" s="2625">
        <v>409</v>
      </c>
      <c r="F27" s="2626">
        <v>227</v>
      </c>
      <c r="G27" s="3481">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2"/>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2"/>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3"/>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2586</v>
      </c>
      <c r="B31" s="2663">
        <v>278</v>
      </c>
      <c r="C31" s="2663">
        <v>234</v>
      </c>
      <c r="D31" s="2663">
        <f t="shared" si="76"/>
        <v>234</v>
      </c>
      <c r="E31" s="2663">
        <v>379</v>
      </c>
      <c r="F31" s="2664">
        <v>220</v>
      </c>
      <c r="G31" s="347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2589</v>
      </c>
      <c r="B34" s="2633">
        <f>B33/(1+N33)</f>
        <v>275.19025476197027</v>
      </c>
      <c r="C34" s="2665">
        <v>232</v>
      </c>
      <c r="D34" s="2665">
        <f t="shared" si="76"/>
        <v>232</v>
      </c>
      <c r="E34" s="2633">
        <f t="shared" si="87"/>
        <v>375.65990977608692</v>
      </c>
      <c r="F34" s="2633">
        <f t="shared" si="87"/>
        <v>214.12518283971252</v>
      </c>
      <c r="G34" s="348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2590</v>
      </c>
      <c r="B35" s="2625">
        <v>275</v>
      </c>
      <c r="C35" s="2625">
        <v>232</v>
      </c>
      <c r="D35" s="2625">
        <f t="shared" si="76"/>
        <v>232</v>
      </c>
      <c r="E35" s="2625">
        <v>376</v>
      </c>
      <c r="F35" s="2626">
        <v>213</v>
      </c>
      <c r="G35" s="347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8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2594</v>
      </c>
      <c r="B39" s="2625">
        <v>269</v>
      </c>
      <c r="C39" s="2625">
        <v>221</v>
      </c>
      <c r="D39" s="2625">
        <f t="shared" si="76"/>
        <v>221</v>
      </c>
      <c r="E39" s="2625">
        <v>373</v>
      </c>
      <c r="F39" s="2626">
        <v>196</v>
      </c>
      <c r="G39" s="347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8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2598</v>
      </c>
      <c r="B43" s="2625">
        <v>220</v>
      </c>
      <c r="C43" s="2625">
        <v>187</v>
      </c>
      <c r="D43" s="2625">
        <f t="shared" si="76"/>
        <v>187</v>
      </c>
      <c r="E43" s="2625">
        <v>301</v>
      </c>
      <c r="F43" s="2626">
        <v>168</v>
      </c>
      <c r="G43" s="347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8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2602</v>
      </c>
      <c r="B47" s="2663">
        <v>214</v>
      </c>
      <c r="C47" s="2663">
        <v>188</v>
      </c>
      <c r="D47" s="2663">
        <f t="shared" si="76"/>
        <v>188</v>
      </c>
      <c r="E47" s="2663">
        <v>289</v>
      </c>
      <c r="F47" s="2664">
        <v>166</v>
      </c>
      <c r="G47" s="347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8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2606</v>
      </c>
      <c r="B51" s="2625">
        <v>188</v>
      </c>
      <c r="C51" s="2625">
        <v>165</v>
      </c>
      <c r="D51" s="2625">
        <f t="shared" si="76"/>
        <v>165</v>
      </c>
      <c r="E51" s="2625">
        <v>254</v>
      </c>
      <c r="F51" s="2626">
        <v>148</v>
      </c>
      <c r="G51" s="347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8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2610</v>
      </c>
      <c r="B55" s="2647">
        <v>159</v>
      </c>
      <c r="C55" s="2647">
        <v>141</v>
      </c>
      <c r="D55" s="2647">
        <f t="shared" si="76"/>
        <v>141</v>
      </c>
      <c r="E55" s="2647">
        <v>195</v>
      </c>
      <c r="F55" s="2648">
        <v>122</v>
      </c>
      <c r="G55" s="347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8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2614</v>
      </c>
      <c r="B59" s="2647">
        <v>138</v>
      </c>
      <c r="C59" s="2647">
        <v>131</v>
      </c>
      <c r="D59" s="2647">
        <f t="shared" si="76"/>
        <v>131</v>
      </c>
      <c r="E59" s="2647">
        <v>155</v>
      </c>
      <c r="F59" s="2648">
        <v>114</v>
      </c>
      <c r="G59" s="347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8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2618</v>
      </c>
      <c r="B63" s="2663">
        <v>121</v>
      </c>
      <c r="C63" s="2663">
        <v>122</v>
      </c>
      <c r="D63" s="2663">
        <f t="shared" si="76"/>
        <v>122</v>
      </c>
      <c r="E63" s="2663">
        <v>124</v>
      </c>
      <c r="F63" s="2664">
        <v>107</v>
      </c>
      <c r="G63" s="347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8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2622</v>
      </c>
      <c r="B67" s="2684">
        <v>111</v>
      </c>
      <c r="C67" s="2684">
        <v>114</v>
      </c>
      <c r="D67" s="2684">
        <f t="shared" si="76"/>
        <v>114</v>
      </c>
      <c r="E67" s="2684">
        <v>108</v>
      </c>
      <c r="F67" s="2685">
        <v>104</v>
      </c>
      <c r="G67" s="3478">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9">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9">
        <v>2003</v>
      </c>
      <c r="H69" s="2624">
        <v>2</v>
      </c>
      <c r="I69" s="2686"/>
      <c r="J69" s="2686"/>
      <c r="K69" s="2686"/>
      <c r="L69" s="2686"/>
      <c r="X69" s="2678"/>
      <c r="Y69" s="2678"/>
      <c r="Z69" s="2678"/>
    </row>
    <row r="70" spans="1:26" ht="13.5" thickBot="1">
      <c r="A70" s="2620" t="s">
        <v>2625</v>
      </c>
      <c r="B70" s="2688">
        <f t="shared" si="112"/>
        <v>107.25</v>
      </c>
      <c r="C70" s="2688">
        <f t="shared" si="112"/>
        <v>108.75</v>
      </c>
      <c r="D70" s="2688">
        <f t="shared" si="76"/>
        <v>108.75</v>
      </c>
      <c r="E70" s="2688">
        <f t="shared" si="113"/>
        <v>105.75</v>
      </c>
      <c r="F70" s="2688">
        <f t="shared" si="113"/>
        <v>102.5</v>
      </c>
      <c r="G70" s="3480">
        <v>2003</v>
      </c>
      <c r="H70" s="2689">
        <v>1</v>
      </c>
      <c r="I70" s="2686"/>
      <c r="J70" s="2686"/>
      <c r="K70" s="2686"/>
      <c r="L70" s="2686"/>
      <c r="S70" s="2628"/>
      <c r="T70" s="2629"/>
      <c r="U70" s="2629"/>
      <c r="X70" s="2678"/>
      <c r="Y70" s="2678"/>
      <c r="Z70" s="2678"/>
    </row>
    <row r="71" spans="1:26" ht="13.5" thickBot="1">
      <c r="A71" s="2620" t="s">
        <v>2626</v>
      </c>
      <c r="B71" s="2690">
        <v>106</v>
      </c>
      <c r="C71" s="2690">
        <v>107</v>
      </c>
      <c r="D71" s="2690">
        <f t="shared" si="76"/>
        <v>107</v>
      </c>
      <c r="E71" s="2690">
        <v>105</v>
      </c>
      <c r="F71" s="2691">
        <v>102</v>
      </c>
      <c r="G71" s="3478">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9">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9">
        <v>2002</v>
      </c>
      <c r="H73" s="2624">
        <v>2</v>
      </c>
      <c r="I73" s="2686"/>
      <c r="J73" s="2686"/>
      <c r="K73" s="2686"/>
      <c r="L73" s="2686"/>
      <c r="X73" s="2678"/>
      <c r="Y73" s="2678"/>
      <c r="Z73" s="2678"/>
    </row>
    <row r="74" spans="1:26" s="2655" customFormat="1" ht="13.5" thickBot="1">
      <c r="A74" s="2651" t="s">
        <v>2629</v>
      </c>
      <c r="B74" s="2692">
        <f t="shared" si="114"/>
        <v>103</v>
      </c>
      <c r="C74" s="2692">
        <f t="shared" si="114"/>
        <v>104</v>
      </c>
      <c r="D74" s="2692">
        <f t="shared" si="76"/>
        <v>104</v>
      </c>
      <c r="E74" s="2692">
        <f t="shared" si="115"/>
        <v>103.5</v>
      </c>
      <c r="F74" s="2692">
        <f t="shared" si="115"/>
        <v>100.5</v>
      </c>
      <c r="G74" s="3480">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5"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6.25">
      <c r="A7" s="1781" t="s">
        <v>2746</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2019年7月4日（评估专业人员勘察现场之日）</v>
      </c>
    </row>
    <row r="12" spans="1:4" ht="18.75">
      <c r="A12" s="1783" t="s">
        <v>2025</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7" t="s">
        <v>2462</v>
      </c>
      <c r="C8" s="1811">
        <f ca="1">ROUND(F8*F10*F9*(1-F11)/10000,0)</f>
        <v>0</v>
      </c>
      <c r="D8" s="1808" t="s">
        <v>2533</v>
      </c>
      <c r="E8" s="61" t="s">
        <v>637</v>
      </c>
      <c r="F8" s="785">
        <f ca="1">INDIRECT("'数据-取费表'!u"&amp;$G$1)</f>
        <v>0</v>
      </c>
      <c r="G8" s="1579"/>
      <c r="H8" s="2469" t="s">
        <v>1824</v>
      </c>
      <c r="I8" s="3487" t="s">
        <v>2462</v>
      </c>
      <c r="J8" s="783">
        <f ca="1">ROUND(M8*M10*M9*(1-M11)/10000,0)</f>
        <v>0</v>
      </c>
      <c r="K8" s="341" t="s">
        <v>2533</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-2</v>
      </c>
      <c r="K54" s="3491"/>
      <c r="L54" s="3492"/>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145" zoomScaleNormal="145" workbookViewId="0">
      <selection activeCell="H45" sqref="H4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3000</v>
      </c>
      <c r="D1" s="3078"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11501</v>
      </c>
      <c r="C2" s="2043"/>
      <c r="D2" s="2041"/>
      <c r="E2" s="2042"/>
      <c r="F2" s="2042"/>
      <c r="G2" s="1577"/>
      <c r="H2" s="2043"/>
      <c r="I2" s="2043"/>
      <c r="J2" s="2043"/>
      <c r="K2" s="2044"/>
      <c r="L2" s="2043"/>
      <c r="M2" s="2043"/>
    </row>
    <row r="3" spans="1:33" ht="18" customHeight="1" thickBot="1">
      <c r="A3" s="833" t="s">
        <v>1727</v>
      </c>
      <c r="B3" s="834">
        <f ca="1">IF(ISERROR(B2*10000/F43),0,ROUND(B2*10000/F43,0))</f>
        <v>23976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670</v>
      </c>
      <c r="D6" s="2462" t="s">
        <v>2461</v>
      </c>
      <c r="E6" s="784" t="s">
        <v>1738</v>
      </c>
      <c r="F6" s="785">
        <f ca="1">INDIRECT("'数据-取费表'!u"&amp;$G$1)</f>
        <v>4.25</v>
      </c>
      <c r="G6" s="1579"/>
      <c r="H6" s="2469" t="s">
        <v>2467</v>
      </c>
      <c r="I6" s="3487" t="s">
        <v>2462</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4796.9399999999996</v>
      </c>
      <c r="G7" s="1579"/>
      <c r="H7" s="2454"/>
      <c r="I7" s="3488"/>
      <c r="J7" s="788"/>
      <c r="K7" s="789"/>
      <c r="L7" s="784" t="s">
        <v>1739</v>
      </c>
      <c r="M7" s="785">
        <f ca="1">F7</f>
        <v>4796.9399999999996</v>
      </c>
    </row>
    <row r="8" spans="1:33" ht="18" customHeight="1">
      <c r="A8" s="2458"/>
      <c r="B8" s="3489"/>
      <c r="C8" s="788"/>
      <c r="D8" s="789"/>
      <c r="E8" s="784" t="s">
        <v>1740</v>
      </c>
      <c r="F8" s="785">
        <f ca="1">INDIRECT("'数据-取费表'!ai"&amp;$G$1)</f>
        <v>365</v>
      </c>
      <c r="G8" s="1579"/>
      <c r="H8" s="2454"/>
      <c r="I8" s="3489"/>
      <c r="J8" s="788"/>
      <c r="K8" s="789"/>
      <c r="L8" s="784" t="s">
        <v>1740</v>
      </c>
      <c r="M8" s="785">
        <f ca="1">INDIRECT("'数据-取费表'!ai"&amp;$G$1)</f>
        <v>365</v>
      </c>
    </row>
    <row r="9" spans="1:33" ht="18" customHeight="1">
      <c r="A9" s="786"/>
      <c r="B9" s="3490"/>
      <c r="C9" s="788"/>
      <c r="D9" s="789"/>
      <c r="E9" s="784" t="s">
        <v>1741</v>
      </c>
      <c r="F9" s="794">
        <f ca="1">INDIRECT("'数据-取费表'!w"&amp;$G$1)</f>
        <v>0.1</v>
      </c>
      <c r="G9" s="1579"/>
      <c r="H9" s="2470"/>
      <c r="I9" s="3489"/>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11501</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0.14699999999999999</v>
      </c>
      <c r="K42" s="2068"/>
      <c r="L42" s="1974"/>
      <c r="M42" s="1974"/>
    </row>
    <row r="43" spans="1:18" ht="18" customHeight="1" thickBot="1">
      <c r="A43" s="823" t="s">
        <v>1787</v>
      </c>
      <c r="B43" s="824" t="s">
        <v>1810</v>
      </c>
      <c r="C43" s="825">
        <f ca="1">ROUND(C40*10000/F43,0)</f>
        <v>23976</v>
      </c>
      <c r="D43" s="826" t="s">
        <v>1811</v>
      </c>
      <c r="E43" s="827" t="s">
        <v>1812</v>
      </c>
      <c r="F43" s="828">
        <f ca="1">INDIRECT("'数据-取费表'!k"&amp;$G$1)</f>
        <v>4796.9399999999996</v>
      </c>
      <c r="G43" s="2048"/>
      <c r="H43" s="1974"/>
      <c r="I43" s="847" t="s">
        <v>1822</v>
      </c>
      <c r="J43" s="848">
        <f ca="1">1-J42</f>
        <v>0.85299999999999998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-12111</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11501</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40</v>
      </c>
      <c r="K53" s="3493" t="s">
        <v>2966</v>
      </c>
      <c r="L53" s="3494"/>
      <c r="O53" s="2366" t="s">
        <v>2388</v>
      </c>
      <c r="P53" s="2364" t="s">
        <v>2389</v>
      </c>
      <c r="Q53" s="2365">
        <f ca="1">J53</f>
        <v>40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11501</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11501</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11501</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-38</v>
      </c>
      <c r="D66" s="2603" t="s">
        <v>700</v>
      </c>
      <c r="E66" s="2602"/>
      <c r="F66" s="820"/>
      <c r="K66" s="2072"/>
      <c r="O66" s="2363" t="s">
        <v>2379</v>
      </c>
      <c r="P66" s="2364" t="s">
        <v>2409</v>
      </c>
      <c r="Q66" s="2365">
        <f ca="1">C40+J29</f>
        <v>11501</v>
      </c>
      <c r="R66" s="2364" t="s">
        <v>2380</v>
      </c>
    </row>
    <row r="67" spans="1:18" s="2045" customFormat="1" ht="20.25" thickBot="1">
      <c r="A67" s="781" t="s">
        <v>1780</v>
      </c>
      <c r="B67" s="2218" t="s">
        <v>2301</v>
      </c>
      <c r="C67" s="783">
        <f ca="1">ROUND(C66*(1-((1+F69)/(1+F67))^F68)/(F67-F69),0)</f>
        <v>-610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40</v>
      </c>
      <c r="O68" s="2366" t="s">
        <v>2383</v>
      </c>
      <c r="P68" s="2364" t="s">
        <v>2413</v>
      </c>
      <c r="Q68" s="2370">
        <f ca="1">L51</f>
        <v>6335</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-1272</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1685</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11501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2470</v>
      </c>
      <c r="B1" s="3512"/>
      <c r="C1" s="3513"/>
      <c r="D1" s="3514">
        <f>SUM(I10,I15,I20,I21,I23)</f>
        <v>0</v>
      </c>
      <c r="E1" s="3514"/>
      <c r="F1" s="3514"/>
      <c r="G1" s="3514"/>
      <c r="H1" s="3514"/>
      <c r="I1" s="3515"/>
    </row>
    <row r="2" spans="1:9">
      <c r="A2" s="3501" t="s">
        <v>2471</v>
      </c>
      <c r="B2" s="3502" t="s">
        <v>2472</v>
      </c>
      <c r="C2" s="3502"/>
      <c r="D2" s="2472" t="s">
        <v>2473</v>
      </c>
      <c r="E2" s="2472" t="s">
        <v>2474</v>
      </c>
      <c r="F2" s="2472" t="s">
        <v>2475</v>
      </c>
      <c r="G2" s="2472" t="s">
        <v>2476</v>
      </c>
      <c r="H2" s="2472" t="s">
        <v>2477</v>
      </c>
      <c r="I2" s="2473" t="s">
        <v>2478</v>
      </c>
    </row>
    <row r="3" spans="1:9">
      <c r="A3" s="3501"/>
      <c r="B3" s="3502" t="s">
        <v>2479</v>
      </c>
      <c r="C3" s="3502"/>
      <c r="D3" s="2474"/>
      <c r="E3" s="2472"/>
      <c r="F3" s="2475"/>
      <c r="G3" s="2475"/>
      <c r="H3" s="2476"/>
      <c r="I3" s="2477">
        <f>ROUND(D3*E3*F3*G3*H3/10000,0)</f>
        <v>0</v>
      </c>
    </row>
    <row r="4" spans="1:9">
      <c r="A4" s="3501"/>
      <c r="B4" s="3502" t="s">
        <v>2480</v>
      </c>
      <c r="C4" s="3502"/>
      <c r="D4" s="2474"/>
      <c r="E4" s="2472"/>
      <c r="F4" s="2475"/>
      <c r="G4" s="2475"/>
      <c r="H4" s="2476"/>
      <c r="I4" s="2477">
        <f t="shared" ref="I4:I9" si="0">ROUND(D4*E4*F4*G4*H4/10000,0)</f>
        <v>0</v>
      </c>
    </row>
    <row r="5" spans="1:9">
      <c r="A5" s="3501"/>
      <c r="B5" s="3502" t="s">
        <v>2481</v>
      </c>
      <c r="C5" s="3502"/>
      <c r="D5" s="2474"/>
      <c r="E5" s="2472"/>
      <c r="F5" s="2475"/>
      <c r="G5" s="2475"/>
      <c r="H5" s="2476"/>
      <c r="I5" s="2477">
        <f t="shared" si="0"/>
        <v>0</v>
      </c>
    </row>
    <row r="6" spans="1:9">
      <c r="A6" s="3501"/>
      <c r="B6" s="3502" t="s">
        <v>2482</v>
      </c>
      <c r="C6" s="3502"/>
      <c r="D6" s="2474"/>
      <c r="E6" s="2472"/>
      <c r="F6" s="2475"/>
      <c r="G6" s="2475"/>
      <c r="H6" s="2476"/>
      <c r="I6" s="2477">
        <f t="shared" si="0"/>
        <v>0</v>
      </c>
    </row>
    <row r="7" spans="1:9">
      <c r="A7" s="3501"/>
      <c r="B7" s="3502" t="s">
        <v>2483</v>
      </c>
      <c r="C7" s="3502"/>
      <c r="D7" s="2474"/>
      <c r="E7" s="2472"/>
      <c r="F7" s="2475"/>
      <c r="G7" s="2475"/>
      <c r="H7" s="2476"/>
      <c r="I7" s="2477">
        <f t="shared" si="0"/>
        <v>0</v>
      </c>
    </row>
    <row r="8" spans="1:9">
      <c r="A8" s="3501"/>
      <c r="B8" s="3502" t="s">
        <v>2484</v>
      </c>
      <c r="C8" s="3502"/>
      <c r="D8" s="2474"/>
      <c r="E8" s="2472"/>
      <c r="F8" s="2475"/>
      <c r="G8" s="2475"/>
      <c r="H8" s="2476"/>
      <c r="I8" s="2477">
        <f t="shared" si="0"/>
        <v>0</v>
      </c>
    </row>
    <row r="9" spans="1:9">
      <c r="A9" s="3501"/>
      <c r="B9" s="3502" t="s">
        <v>2485</v>
      </c>
      <c r="C9" s="3502"/>
      <c r="D9" s="2474"/>
      <c r="E9" s="2472"/>
      <c r="F9" s="2475"/>
      <c r="G9" s="2475"/>
      <c r="H9" s="2476"/>
      <c r="I9" s="2477">
        <f t="shared" si="0"/>
        <v>0</v>
      </c>
    </row>
    <row r="10" spans="1:9">
      <c r="A10" s="3501"/>
      <c r="B10" s="3503" t="s">
        <v>2486</v>
      </c>
      <c r="C10" s="3503"/>
      <c r="D10" s="2478">
        <v>527</v>
      </c>
      <c r="E10" s="2478" t="e">
        <f>ROUND(D1*10000/D10/H9,0)</f>
        <v>#DIV/0!</v>
      </c>
      <c r="F10" s="2479"/>
      <c r="G10" s="2479"/>
      <c r="H10" s="2480"/>
      <c r="I10" s="2481">
        <f>SUM(I3:I9)</f>
        <v>0</v>
      </c>
    </row>
    <row r="11" spans="1:9" ht="14.25">
      <c r="A11" s="3501" t="s">
        <v>2487</v>
      </c>
      <c r="B11" s="3502" t="s">
        <v>2488</v>
      </c>
      <c r="C11" s="3502"/>
      <c r="D11" s="2474" t="s">
        <v>2489</v>
      </c>
      <c r="E11" s="2474" t="s">
        <v>2490</v>
      </c>
      <c r="F11" s="2475" t="s">
        <v>2491</v>
      </c>
      <c r="G11" s="2475" t="s">
        <v>2492</v>
      </c>
      <c r="H11" s="2482" t="s">
        <v>2493</v>
      </c>
      <c r="I11" s="2473" t="s">
        <v>2494</v>
      </c>
    </row>
    <row r="12" spans="1:9">
      <c r="A12" s="3501"/>
      <c r="B12" s="3502" t="s">
        <v>2495</v>
      </c>
      <c r="C12" s="3502"/>
      <c r="D12" s="2474"/>
      <c r="E12" s="2474"/>
      <c r="F12" s="2475"/>
      <c r="G12" s="2476"/>
      <c r="H12" s="2483"/>
      <c r="I12" s="2473">
        <f>ROUND(D12*E12*F12*G12/10000,0)</f>
        <v>0</v>
      </c>
    </row>
    <row r="13" spans="1:9">
      <c r="A13" s="3501"/>
      <c r="B13" s="3502" t="s">
        <v>2496</v>
      </c>
      <c r="C13" s="3502"/>
      <c r="D13" s="2474"/>
      <c r="E13" s="2474"/>
      <c r="F13" s="2475"/>
      <c r="G13" s="2476"/>
      <c r="H13" s="2483"/>
      <c r="I13" s="2473">
        <f>ROUND(D13*E13*F13*G13/10000,0)</f>
        <v>0</v>
      </c>
    </row>
    <row r="14" spans="1:9">
      <c r="A14" s="3501"/>
      <c r="B14" s="3502" t="s">
        <v>2497</v>
      </c>
      <c r="C14" s="3502"/>
      <c r="D14" s="2474"/>
      <c r="E14" s="2474"/>
      <c r="F14" s="2475"/>
      <c r="G14" s="2476"/>
      <c r="H14" s="2483"/>
      <c r="I14" s="2473">
        <f>ROUND(D14*E14*F14*G14/10000,0)</f>
        <v>0</v>
      </c>
    </row>
    <row r="15" spans="1:9">
      <c r="A15" s="3501"/>
      <c r="B15" s="3503" t="s">
        <v>2486</v>
      </c>
      <c r="C15" s="3503"/>
      <c r="D15" s="2478"/>
      <c r="E15" s="2478">
        <f>SUM(E12:E14)</f>
        <v>0</v>
      </c>
      <c r="F15" s="2479"/>
      <c r="G15" s="2476"/>
      <c r="H15" s="2483"/>
      <c r="I15" s="2484">
        <f>SUM(I12:I14)</f>
        <v>0</v>
      </c>
    </row>
    <row r="16" spans="1:9" ht="24">
      <c r="A16" s="3501" t="s">
        <v>2498</v>
      </c>
      <c r="B16" s="3502" t="s">
        <v>2499</v>
      </c>
      <c r="C16" s="3502"/>
      <c r="D16" s="2474" t="s">
        <v>2500</v>
      </c>
      <c r="E16" s="2485" t="s">
        <v>2501</v>
      </c>
      <c r="F16" s="2475" t="s">
        <v>2502</v>
      </c>
      <c r="G16" s="2476" t="s">
        <v>2492</v>
      </c>
      <c r="H16" s="2482" t="s">
        <v>2493</v>
      </c>
      <c r="I16" s="2473" t="s">
        <v>2494</v>
      </c>
    </row>
    <row r="17" spans="1:9" ht="14.25">
      <c r="A17" s="3501"/>
      <c r="B17" s="3502" t="s">
        <v>2503</v>
      </c>
      <c r="C17" s="3502"/>
      <c r="D17" s="2474"/>
      <c r="E17" s="2474"/>
      <c r="F17" s="2475"/>
      <c r="G17" s="2476"/>
      <c r="H17" s="2486"/>
      <c r="I17" s="2487">
        <f>ROUND(D17*E17*F17*G17/10000,0)</f>
        <v>0</v>
      </c>
    </row>
    <row r="18" spans="1:9" ht="14.25">
      <c r="A18" s="3501"/>
      <c r="B18" s="3502" t="s">
        <v>2504</v>
      </c>
      <c r="C18" s="3502"/>
      <c r="D18" s="2474"/>
      <c r="E18" s="2474"/>
      <c r="F18" s="2475"/>
      <c r="G18" s="2476"/>
      <c r="H18" s="2486"/>
      <c r="I18" s="2487">
        <f>ROUND(D18*E18*F18*G18/10000,0)</f>
        <v>0</v>
      </c>
    </row>
    <row r="19" spans="1:9" ht="14.25">
      <c r="A19" s="3501"/>
      <c r="B19" s="3502" t="s">
        <v>2505</v>
      </c>
      <c r="C19" s="3502"/>
      <c r="D19" s="2474"/>
      <c r="E19" s="2474"/>
      <c r="F19" s="2475"/>
      <c r="G19" s="2476"/>
      <c r="H19" s="2486"/>
      <c r="I19" s="2487">
        <f>ROUND(D19*E19*F19*G19/10000,0)</f>
        <v>0</v>
      </c>
    </row>
    <row r="20" spans="1:9">
      <c r="A20" s="3501"/>
      <c r="B20" s="3503" t="s">
        <v>2486</v>
      </c>
      <c r="C20" s="3503"/>
      <c r="D20" s="2478">
        <f>SUM(D17:D19)</f>
        <v>0</v>
      </c>
      <c r="E20" s="2478"/>
      <c r="F20" s="2479"/>
      <c r="G20" s="2476"/>
      <c r="H20" s="2483"/>
      <c r="I20" s="2484">
        <f>SUM(I17:I19)</f>
        <v>0</v>
      </c>
    </row>
    <row r="21" spans="1:9">
      <c r="A21" s="3501" t="s">
        <v>2506</v>
      </c>
      <c r="B21" s="3504"/>
      <c r="C21" s="3504"/>
      <c r="D21" s="3504"/>
      <c r="E21" s="3504"/>
      <c r="F21" s="3504"/>
      <c r="G21" s="3504"/>
      <c r="H21" s="2488">
        <v>0.1</v>
      </c>
      <c r="I21" s="2481">
        <f>ROUND(I10*H21,0)</f>
        <v>0</v>
      </c>
    </row>
    <row r="22" spans="1:9" ht="14.25">
      <c r="A22" s="3505" t="s">
        <v>2507</v>
      </c>
      <c r="B22" s="3506"/>
      <c r="C22" s="3507"/>
      <c r="D22" s="2489" t="s">
        <v>2508</v>
      </c>
      <c r="E22" s="2489" t="s">
        <v>2509</v>
      </c>
      <c r="F22" s="2490" t="s">
        <v>2510</v>
      </c>
      <c r="G22" s="2490" t="s">
        <v>2511</v>
      </c>
      <c r="H22" s="2482" t="s">
        <v>2512</v>
      </c>
      <c r="I22" s="2473" t="s">
        <v>2513</v>
      </c>
    </row>
    <row r="23" spans="1:9" ht="14.25" thickBot="1">
      <c r="A23" s="3508"/>
      <c r="B23" s="3509"/>
      <c r="C23" s="3510"/>
      <c r="D23" s="2491"/>
      <c r="E23" s="2491"/>
      <c r="F23" s="2491"/>
      <c r="G23" s="2492"/>
      <c r="H23" s="2493"/>
      <c r="I23" s="2494">
        <f>ROUND(E23*D23*F23*(1-G23)/10000,0)</f>
        <v>0</v>
      </c>
    </row>
    <row r="26" spans="1:9">
      <c r="A26" s="2495" t="s">
        <v>2514</v>
      </c>
      <c r="B26" s="2495"/>
      <c r="C26" s="2495"/>
      <c r="D26" s="2495"/>
      <c r="E26" s="3498">
        <f>C27-C30-C31-C32</f>
        <v>0</v>
      </c>
      <c r="F26" s="3498"/>
      <c r="G26" s="3498"/>
      <c r="H26" s="2996" t="s">
        <v>2842</v>
      </c>
    </row>
    <row r="27" spans="1:9">
      <c r="A27" s="2496">
        <v>1</v>
      </c>
      <c r="B27" s="2497" t="s">
        <v>2515</v>
      </c>
      <c r="C27" s="2497"/>
      <c r="D27" s="2497"/>
      <c r="E27" s="3499"/>
      <c r="F27" s="3499"/>
      <c r="G27" s="3499"/>
    </row>
    <row r="28" spans="1:9">
      <c r="A28" s="2498" t="s">
        <v>2516</v>
      </c>
      <c r="B28" s="2497" t="s">
        <v>2517</v>
      </c>
      <c r="C28" s="2497"/>
      <c r="D28" s="2497"/>
      <c r="E28" s="3499"/>
      <c r="F28" s="3499"/>
      <c r="G28" s="3499"/>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0"/>
      <c r="F32" s="3500"/>
      <c r="G32" s="3500"/>
    </row>
    <row r="33" spans="1:7" hidden="1">
      <c r="A33" s="3495" t="s">
        <v>2525</v>
      </c>
      <c r="B33" s="3496"/>
      <c r="C33" s="3496"/>
      <c r="D33" s="3497"/>
      <c r="E33" s="3498"/>
      <c r="F33" s="3498"/>
      <c r="G33" s="3498"/>
    </row>
    <row r="34" spans="1:7" hidden="1">
      <c r="A34" s="2500">
        <v>1</v>
      </c>
      <c r="B34" s="2497" t="s">
        <v>2526</v>
      </c>
      <c r="C34" s="2497"/>
      <c r="D34" s="2497"/>
      <c r="E34" s="3499"/>
      <c r="F34" s="3499"/>
      <c r="G34" s="3499"/>
    </row>
    <row r="35" spans="1:7" hidden="1">
      <c r="A35" s="2500">
        <v>2</v>
      </c>
      <c r="B35" s="2497" t="s">
        <v>2527</v>
      </c>
      <c r="C35" s="2497"/>
      <c r="D35" s="2497"/>
      <c r="E35" s="3499"/>
      <c r="F35" s="3499"/>
      <c r="G35" s="3499"/>
    </row>
    <row r="36" spans="1:7" hidden="1">
      <c r="A36" s="2500">
        <v>3</v>
      </c>
      <c r="B36" s="2497" t="s">
        <v>2528</v>
      </c>
      <c r="C36" s="2497"/>
      <c r="D36" s="2497"/>
      <c r="E36" s="3499"/>
      <c r="F36" s="3499"/>
      <c r="G36" s="3499"/>
    </row>
    <row r="37" spans="1:7" hidden="1">
      <c r="A37" s="2500">
        <v>4</v>
      </c>
      <c r="B37" s="2497" t="s">
        <v>2529</v>
      </c>
      <c r="C37" s="2497"/>
      <c r="D37" s="2497"/>
      <c r="E37" s="3499"/>
      <c r="F37" s="3499"/>
      <c r="G37" s="3499"/>
    </row>
    <row r="38" spans="1:7" hidden="1">
      <c r="A38" s="3495" t="s">
        <v>2530</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2929</v>
      </c>
      <c r="D5" s="3431"/>
      <c r="E5" s="3516" t="s">
        <v>3161</v>
      </c>
      <c r="F5" s="3446"/>
      <c r="G5" s="3517" t="s">
        <v>3162</v>
      </c>
      <c r="H5" s="3431"/>
      <c r="I5" s="3517" t="s">
        <v>3163</v>
      </c>
      <c r="J5" s="3431"/>
      <c r="K5" s="85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2933</v>
      </c>
      <c r="D6" s="3429"/>
      <c r="E6" s="3447" t="s">
        <v>2933</v>
      </c>
      <c r="F6" s="3448"/>
      <c r="G6" s="3428" t="s">
        <v>2933</v>
      </c>
      <c r="H6" s="3429"/>
      <c r="I6" s="3428" t="s">
        <v>2933</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21"/>
      <c r="M7" s="2122"/>
      <c r="N7" s="2122"/>
      <c r="O7" s="2122"/>
      <c r="P7" s="3405" t="s">
        <v>530</v>
      </c>
      <c r="Q7" s="3414"/>
      <c r="R7" s="1555" t="s">
        <v>13</v>
      </c>
      <c r="S7" s="1556">
        <f t="shared" ref="S7:S15" si="0">F7</f>
        <v>100</v>
      </c>
      <c r="T7" s="1555" t="s">
        <v>13</v>
      </c>
      <c r="U7" s="1556">
        <f t="shared" ref="U7:U15" si="1">H7</f>
        <v>100</v>
      </c>
      <c r="V7" s="1555" t="s">
        <v>13</v>
      </c>
      <c r="W7" s="1556">
        <f t="shared" ref="W7:W15" si="2">J7</f>
        <v>100</v>
      </c>
      <c r="X7" s="1557"/>
      <c r="Y7" s="3405" t="s">
        <v>530</v>
      </c>
      <c r="Z7" s="3406"/>
      <c r="AA7" s="1558">
        <f>D7/F7</f>
        <v>1</v>
      </c>
      <c r="AB7" s="1558">
        <f>D7/H7</f>
        <v>1</v>
      </c>
      <c r="AC7" s="1558">
        <f>D7/J7</f>
        <v>1</v>
      </c>
    </row>
    <row r="8" spans="1:29" s="1216" customFormat="1" ht="15.7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05" t="s">
        <v>533</v>
      </c>
      <c r="Q8" s="3406"/>
      <c r="R8" s="1555" t="s">
        <v>13</v>
      </c>
      <c r="S8" s="1556">
        <f t="shared" si="0"/>
        <v>100</v>
      </c>
      <c r="T8" s="1555" t="s">
        <v>13</v>
      </c>
      <c r="U8" s="1556">
        <f t="shared" si="1"/>
        <v>100</v>
      </c>
      <c r="V8" s="1555" t="s">
        <v>13</v>
      </c>
      <c r="W8" s="1556">
        <f t="shared" si="2"/>
        <v>100</v>
      </c>
      <c r="X8" s="1557"/>
      <c r="Y8" s="3405" t="s">
        <v>533</v>
      </c>
      <c r="Z8" s="3406"/>
      <c r="AA8" s="1558">
        <f t="shared" ref="AA8:AA46" si="3">D8/F8</f>
        <v>1</v>
      </c>
      <c r="AB8" s="1558">
        <f t="shared" ref="AB8:AB46" si="4">D8/H8</f>
        <v>1</v>
      </c>
      <c r="AC8" s="1558">
        <f t="shared" ref="AC8:AC46" si="5">D8/J8</f>
        <v>1</v>
      </c>
    </row>
    <row r="9" spans="1:29" s="1216" customFormat="1" ht="15">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13"/>
      <c r="Q11" s="1147" t="str">
        <f t="shared" si="6"/>
        <v>容积率</v>
      </c>
      <c r="R11" s="1555" t="s">
        <v>11</v>
      </c>
      <c r="S11" s="1556">
        <f t="shared" si="0"/>
        <v>100</v>
      </c>
      <c r="T11" s="1555" t="s">
        <v>11</v>
      </c>
      <c r="U11" s="1556">
        <f t="shared" si="1"/>
        <v>100</v>
      </c>
      <c r="V11" s="1555" t="s">
        <v>11</v>
      </c>
      <c r="W11" s="1556">
        <f t="shared" si="2"/>
        <v>100</v>
      </c>
      <c r="X11" s="1557"/>
      <c r="Y11" s="3370"/>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15" t="s">
        <v>540</v>
      </c>
      <c r="Q15" s="1559" t="str">
        <f t="shared" si="6"/>
        <v>居住社区成熟度</v>
      </c>
      <c r="R15" s="1560" t="s">
        <v>11</v>
      </c>
      <c r="S15" s="1561">
        <f t="shared" si="0"/>
        <v>97</v>
      </c>
      <c r="T15" s="1560" t="s">
        <v>11</v>
      </c>
      <c r="U15" s="1561">
        <f t="shared" si="1"/>
        <v>97</v>
      </c>
      <c r="V15" s="1560" t="s">
        <v>11</v>
      </c>
      <c r="W15" s="1561">
        <f t="shared" si="2"/>
        <v>97</v>
      </c>
      <c r="X15" s="1554"/>
      <c r="Y15" s="3415"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16"/>
      <c r="Q17" s="1559" t="str">
        <f>B17</f>
        <v>交通便捷度</v>
      </c>
      <c r="R17" s="1560" t="s">
        <v>11</v>
      </c>
      <c r="S17" s="1561">
        <f>F17</f>
        <v>97</v>
      </c>
      <c r="T17" s="1560" t="s">
        <v>11</v>
      </c>
      <c r="U17" s="1561">
        <f>H17</f>
        <v>97</v>
      </c>
      <c r="V17" s="1560" t="s">
        <v>11</v>
      </c>
      <c r="W17" s="1561">
        <f>J17</f>
        <v>97</v>
      </c>
      <c r="X17" s="1554"/>
      <c r="Y17" s="3416"/>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16"/>
      <c r="Q19" s="1559" t="str">
        <f>B19</f>
        <v>公共配套设施</v>
      </c>
      <c r="R19" s="1560" t="s">
        <v>11</v>
      </c>
      <c r="S19" s="1561">
        <f>F19</f>
        <v>97</v>
      </c>
      <c r="T19" s="1560" t="s">
        <v>11</v>
      </c>
      <c r="U19" s="1561">
        <f>H19</f>
        <v>97</v>
      </c>
      <c r="V19" s="1560" t="s">
        <v>11</v>
      </c>
      <c r="W19" s="1561">
        <f>J19</f>
        <v>97</v>
      </c>
      <c r="X19" s="1554"/>
      <c r="Y19" s="3416"/>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18"/>
      <c r="Q33" s="1591" t="str">
        <f t="shared" si="11"/>
        <v>项目建筑规模</v>
      </c>
      <c r="R33" s="1564" t="s">
        <v>11</v>
      </c>
      <c r="S33" s="1565">
        <f t="shared" si="12"/>
        <v>101</v>
      </c>
      <c r="T33" s="1564" t="s">
        <v>11</v>
      </c>
      <c r="U33" s="1565">
        <f t="shared" si="13"/>
        <v>101</v>
      </c>
      <c r="V33" s="1564" t="s">
        <v>11</v>
      </c>
      <c r="W33" s="1565">
        <f t="shared" si="14"/>
        <v>101</v>
      </c>
      <c r="X33" s="1566"/>
      <c r="Y33" s="3418"/>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18"/>
      <c r="Q37" s="1147" t="str">
        <f t="shared" si="11"/>
        <v>成新度</v>
      </c>
      <c r="R37" s="1555" t="s">
        <v>11</v>
      </c>
      <c r="S37" s="1556">
        <f t="shared" si="12"/>
        <v>100</v>
      </c>
      <c r="T37" s="1555" t="s">
        <v>11</v>
      </c>
      <c r="U37" s="1556">
        <f t="shared" si="13"/>
        <v>100</v>
      </c>
      <c r="V37" s="1555" t="s">
        <v>11</v>
      </c>
      <c r="W37" s="1556">
        <f t="shared" si="14"/>
        <v>100</v>
      </c>
      <c r="X37" s="1557"/>
      <c r="Y37" s="3418"/>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0"/>
      <c r="Q46" s="1559">
        <f t="shared" si="11"/>
        <v>111</v>
      </c>
      <c r="R46" s="1560" t="s">
        <v>10</v>
      </c>
      <c r="S46" s="1561">
        <f t="shared" si="12"/>
        <v>100</v>
      </c>
      <c r="T46" s="1560" t="s">
        <v>10</v>
      </c>
      <c r="U46" s="1561">
        <f t="shared" si="13"/>
        <v>100</v>
      </c>
      <c r="V46" s="1560" t="s">
        <v>10</v>
      </c>
      <c r="W46" s="1561">
        <f t="shared" si="14"/>
        <v>100</v>
      </c>
      <c r="X46" s="1554"/>
      <c r="Y46" s="3520"/>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413" t="str">
        <f>A47</f>
        <v>成交单价（元/平方米）</v>
      </c>
      <c r="Q47" s="3413"/>
      <c r="R47" s="3519">
        <f>E47</f>
        <v>16500</v>
      </c>
      <c r="S47" s="3519"/>
      <c r="T47" s="3519">
        <f>G47</f>
        <v>14000</v>
      </c>
      <c r="U47" s="3519"/>
      <c r="V47" s="3519">
        <f>I47</f>
        <v>15500</v>
      </c>
      <c r="W47" s="3519"/>
      <c r="X47" s="1546"/>
      <c r="Y47" s="1568"/>
      <c r="Z47" s="1546"/>
      <c r="AA47" s="1546"/>
      <c r="AB47" s="1546"/>
      <c r="AC47" s="1546"/>
    </row>
    <row r="48" spans="1:29" ht="15.7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13" t="str">
        <f>A48</f>
        <v>比较价格（元/平方米）</v>
      </c>
      <c r="Q48" s="3413"/>
      <c r="R48" s="3519">
        <f>IF(F1="售价",ROUND(PRODUCT(R47,AA7:AA46),0),ROUND(PRODUCT(R47,AA7:AA46),1))</f>
        <v>17900</v>
      </c>
      <c r="S48" s="3519"/>
      <c r="T48" s="3519">
        <f>IF(F1="售价",ROUND(PRODUCT(T47,AB7:AB46),0),ROUND(PRODUCT(T47,AB7:AB46),1))</f>
        <v>15188</v>
      </c>
      <c r="U48" s="3519"/>
      <c r="V48" s="3519">
        <f>IF(F1="售价",ROUND(PRODUCT(V47,AC7:AC46),0),ROUND(PRODUCT(V47,AC7:AC46),1))</f>
        <v>16815</v>
      </c>
      <c r="W48" s="3519"/>
      <c r="X48" s="1546"/>
      <c r="Y48" s="1546"/>
      <c r="Z48" s="1546"/>
      <c r="AA48" s="1546"/>
      <c r="AB48" s="1546"/>
      <c r="AC48" s="1546"/>
    </row>
    <row r="49" spans="1:29" ht="15.75" thickBot="1">
      <c r="A49" s="621" t="s">
        <v>2935</v>
      </c>
      <c r="B49" s="622"/>
      <c r="C49" s="2601">
        <f>R49</f>
        <v>16634</v>
      </c>
      <c r="D49" s="2601"/>
      <c r="E49" s="2601"/>
      <c r="F49" s="2601"/>
      <c r="G49" s="2601"/>
      <c r="H49" s="2601"/>
      <c r="I49" s="2601"/>
      <c r="J49" s="2601"/>
      <c r="K49" s="1594"/>
      <c r="L49" s="2130"/>
      <c r="M49" s="2131"/>
      <c r="N49" s="2131"/>
      <c r="O49" s="2131"/>
      <c r="P49" s="3434" t="str">
        <f>A49</f>
        <v>估价对象XX用房的比较价格（楼面单价，元/平方米）</v>
      </c>
      <c r="Q49" s="3435"/>
      <c r="R49" s="3518">
        <f>IF(F1="售价",ROUND(AVERAGE(R48:V48),0),ROUND(AVERAGE(R48:V48),1))</f>
        <v>16634</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ht="15">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27"/>
      <c r="AC5" s="3403"/>
    </row>
    <row r="6" spans="1:29" ht="15.7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75" thickBot="1">
      <c r="A7" s="2868"/>
      <c r="B7" s="2875"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0"/>
      <c r="Q46" s="1559">
        <f t="shared" si="11"/>
        <v>111</v>
      </c>
      <c r="R46" s="1560" t="s">
        <v>8</v>
      </c>
      <c r="S46" s="1561">
        <f t="shared" si="12"/>
        <v>100</v>
      </c>
      <c r="T46" s="1560" t="s">
        <v>8</v>
      </c>
      <c r="U46" s="1561">
        <f t="shared" si="13"/>
        <v>100</v>
      </c>
      <c r="V46" s="1560" t="s">
        <v>8</v>
      </c>
      <c r="W46" s="1561">
        <f t="shared" si="14"/>
        <v>100</v>
      </c>
      <c r="X46" s="1554"/>
      <c r="Y46" s="352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9">
        <f>E47</f>
        <v>0</v>
      </c>
      <c r="S47" s="3519"/>
      <c r="T47" s="3519">
        <f>G47</f>
        <v>0</v>
      </c>
      <c r="U47" s="3519"/>
      <c r="V47" s="3519">
        <f>I47</f>
        <v>0</v>
      </c>
      <c r="W47" s="3519"/>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46"/>
      <c r="Y48" s="1546"/>
      <c r="Z48" s="1546"/>
      <c r="AA48" s="1546"/>
      <c r="AB48" s="1546"/>
      <c r="AC48" s="1546"/>
    </row>
    <row r="49" spans="1:29" ht="15.75" thickBot="1">
      <c r="A49" s="621" t="s">
        <v>2935</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8" t="e">
        <f>IF(F1="售价",ROUND(AVERAGE(R48:V48),0),ROUND(AVERAGE(R48:V48),1))</f>
        <v>#DIV/0!</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9" t="s">
        <v>522</v>
      </c>
      <c r="D4" s="3420"/>
      <c r="E4" s="3443" t="s">
        <v>523</v>
      </c>
      <c r="F4" s="3444"/>
      <c r="G4" s="3419" t="s">
        <v>524</v>
      </c>
      <c r="H4" s="3420"/>
      <c r="I4" s="3419" t="s">
        <v>525</v>
      </c>
      <c r="J4" s="3420"/>
      <c r="K4" s="514" t="s">
        <v>526</v>
      </c>
      <c r="L4" s="2119"/>
      <c r="M4" s="2120"/>
      <c r="N4" s="2120"/>
      <c r="O4" s="2120"/>
      <c r="P4" s="3521"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2929</v>
      </c>
      <c r="D5" s="3431"/>
      <c r="E5" s="3445" t="s">
        <v>2930</v>
      </c>
      <c r="F5" s="3446"/>
      <c r="G5" s="3430" t="s">
        <v>2931</v>
      </c>
      <c r="H5" s="3431"/>
      <c r="I5" s="3430" t="s">
        <v>2932</v>
      </c>
      <c r="J5" s="3431"/>
      <c r="K5" s="514"/>
      <c r="L5" s="2119"/>
      <c r="M5" s="2120"/>
      <c r="N5" s="2120"/>
      <c r="O5" s="2120"/>
      <c r="P5" s="3522"/>
      <c r="Q5" s="3424"/>
      <c r="R5" s="3409"/>
      <c r="S5" s="3410"/>
      <c r="T5" s="3409"/>
      <c r="U5" s="3410"/>
      <c r="V5" s="3427"/>
      <c r="W5" s="3427"/>
      <c r="X5" s="1554"/>
      <c r="Y5" s="3409"/>
      <c r="Z5" s="3410"/>
      <c r="AA5" s="3403"/>
      <c r="AB5" s="3403"/>
      <c r="AC5" s="3403"/>
    </row>
    <row r="6" spans="1:29" ht="15.75" thickBot="1">
      <c r="A6" s="517"/>
      <c r="B6" s="518"/>
      <c r="C6" s="3428" t="s">
        <v>2933</v>
      </c>
      <c r="D6" s="3429"/>
      <c r="E6" s="3447" t="s">
        <v>2933</v>
      </c>
      <c r="F6" s="3448"/>
      <c r="G6" s="3428" t="s">
        <v>2933</v>
      </c>
      <c r="H6" s="3429"/>
      <c r="I6" s="3428" t="s">
        <v>2933</v>
      </c>
      <c r="J6" s="3429"/>
      <c r="K6" s="514" t="s">
        <v>528</v>
      </c>
      <c r="L6" s="2119"/>
      <c r="M6" s="2120"/>
      <c r="N6" s="2120"/>
      <c r="O6" s="2120"/>
      <c r="P6" s="3523"/>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0"/>
      <c r="Q47" s="1559">
        <f t="shared" si="11"/>
        <v>111</v>
      </c>
      <c r="R47" s="1560" t="s">
        <v>8</v>
      </c>
      <c r="S47" s="1561">
        <f t="shared" si="12"/>
        <v>100</v>
      </c>
      <c r="T47" s="1560" t="s">
        <v>8</v>
      </c>
      <c r="U47" s="1561">
        <f t="shared" si="13"/>
        <v>100</v>
      </c>
      <c r="V47" s="1560" t="s">
        <v>8</v>
      </c>
      <c r="W47" s="1561">
        <f t="shared" si="14"/>
        <v>100</v>
      </c>
      <c r="X47" s="1554"/>
      <c r="Y47" s="3520"/>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9">
        <f>E48</f>
        <v>0</v>
      </c>
      <c r="S48" s="3519"/>
      <c r="T48" s="3519">
        <f>G48</f>
        <v>0</v>
      </c>
      <c r="U48" s="3519"/>
      <c r="V48" s="3519">
        <f>I48</f>
        <v>0</v>
      </c>
      <c r="W48" s="3519"/>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46"/>
      <c r="Y49" s="1546"/>
      <c r="Z49" s="1546"/>
      <c r="AA49" s="1546"/>
      <c r="AB49" s="1546"/>
      <c r="AC49" s="1546"/>
    </row>
    <row r="50" spans="1:29" ht="15.75" thickBot="1">
      <c r="A50" s="621" t="s">
        <v>2935</v>
      </c>
      <c r="B50" s="622"/>
      <c r="C50" s="2601" t="e">
        <f>R50</f>
        <v>#DIV/0!</v>
      </c>
      <c r="D50" s="2601"/>
      <c r="E50" s="2601"/>
      <c r="F50" s="2601"/>
      <c r="G50" s="2601"/>
      <c r="H50" s="2601"/>
      <c r="I50" s="2601"/>
      <c r="J50" s="2601"/>
      <c r="K50" s="1599"/>
      <c r="L50" s="2130"/>
      <c r="M50" s="2120"/>
      <c r="N50" s="2120"/>
      <c r="O50" s="2120"/>
      <c r="P50" s="3524" t="str">
        <f>A50</f>
        <v>估价对象XX用房的比较价格（楼面单价，元/平方米）</v>
      </c>
      <c r="Q50" s="3435"/>
      <c r="R50" s="3518" t="e">
        <f>IF(F1="售价",ROUND(AVERAGE(R49:V49),0),ROUND(AVERAGE(R49:V49),1))</f>
        <v>#DIV/0!</v>
      </c>
      <c r="S50" s="3518"/>
      <c r="T50" s="3518"/>
      <c r="U50" s="3518"/>
      <c r="V50" s="3518"/>
      <c r="W50" s="351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ht="15">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0"/>
      <c r="Q40" s="1559">
        <f t="shared" si="11"/>
        <v>111</v>
      </c>
      <c r="R40" s="1560" t="s">
        <v>8</v>
      </c>
      <c r="S40" s="1561">
        <f t="shared" si="12"/>
        <v>100</v>
      </c>
      <c r="T40" s="1560" t="s">
        <v>8</v>
      </c>
      <c r="U40" s="1561">
        <f t="shared" si="13"/>
        <v>100</v>
      </c>
      <c r="V40" s="1560" t="s">
        <v>8</v>
      </c>
      <c r="W40" s="1561">
        <f t="shared" si="14"/>
        <v>100</v>
      </c>
      <c r="X40" s="1554"/>
      <c r="Y40" s="352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9">
        <f>E41</f>
        <v>0</v>
      </c>
      <c r="S41" s="3519"/>
      <c r="T41" s="3519">
        <f>G41</f>
        <v>0</v>
      </c>
      <c r="U41" s="3519"/>
      <c r="V41" s="3519">
        <f>I41</f>
        <v>0</v>
      </c>
      <c r="W41" s="3519"/>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46"/>
      <c r="Y42" s="1546"/>
      <c r="Z42" s="1546"/>
      <c r="AA42" s="1546"/>
      <c r="AB42" s="1546"/>
      <c r="AC42" s="1546"/>
    </row>
    <row r="43" spans="1:29" ht="15.75" thickBot="1">
      <c r="A43" s="621" t="s">
        <v>2935</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8" t="e">
        <f>IF(F1="售价",ROUND(AVERAGE(R42:V42),0),ROUND(AVERAGE(R42:V42),1))</f>
        <v>#DIV/0!</v>
      </c>
      <c r="S43" s="3518"/>
      <c r="T43" s="3518"/>
      <c r="U43" s="3518"/>
      <c r="V43" s="3518"/>
      <c r="W43" s="351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2929</v>
      </c>
      <c r="D5" s="3431"/>
      <c r="E5" s="3430" t="s">
        <v>2930</v>
      </c>
      <c r="F5" s="3431"/>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2933</v>
      </c>
      <c r="D6" s="3429"/>
      <c r="E6" s="3432" t="s">
        <v>2933</v>
      </c>
      <c r="F6" s="3433"/>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43650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9">
        <f>E37</f>
        <v>0</v>
      </c>
      <c r="S37" s="3519"/>
      <c r="T37" s="3519">
        <f>G37</f>
        <v>0</v>
      </c>
      <c r="U37" s="3519"/>
      <c r="V37" s="3519">
        <f>I37</f>
        <v>0</v>
      </c>
      <c r="W37" s="3519"/>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46"/>
      <c r="Y38" s="1546"/>
      <c r="Z38" s="1546"/>
      <c r="AA38" s="1546"/>
      <c r="AB38" s="1546"/>
      <c r="AC38" s="1546"/>
    </row>
    <row r="39" spans="1:29" ht="15.75" thickBot="1">
      <c r="A39" s="621" t="s">
        <v>2935</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8" t="e">
        <f>IF(F1="售价",ROUND(AVERAGE(R38:V38),0),ROUND(AVERAGE(R38:V38),1))</f>
        <v>#DIV/0!</v>
      </c>
      <c r="S39" s="3518"/>
      <c r="T39" s="3518"/>
      <c r="U39" s="3518"/>
      <c r="V39" s="3518"/>
      <c r="W39" s="351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9">
        <f>E35</f>
        <v>0</v>
      </c>
      <c r="S35" s="3519"/>
      <c r="T35" s="3519">
        <f>G35</f>
        <v>0</v>
      </c>
      <c r="U35" s="3519"/>
      <c r="V35" s="3519">
        <f>I35</f>
        <v>0</v>
      </c>
      <c r="W35" s="3519"/>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46"/>
      <c r="Y36" s="1546"/>
      <c r="Z36" s="1546"/>
      <c r="AA36" s="1546"/>
      <c r="AB36" s="1546"/>
      <c r="AC36" s="1546"/>
    </row>
    <row r="37" spans="1:29" ht="15.75" thickBot="1">
      <c r="A37" s="621" t="s">
        <v>2935</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8" t="e">
        <f>IF(F1="售价",ROUND(AVERAGE(R36:V36),0),ROUND(AVERAGE(R36:V36),1))</f>
        <v>#DIV/0!</v>
      </c>
      <c r="S37" s="3518"/>
      <c r="T37" s="3518"/>
      <c r="U37" s="3518"/>
      <c r="V37" s="3518"/>
      <c r="W37" s="351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93.75">
      <c r="A7" s="2829"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8" t="s">
        <v>2304</v>
      </c>
      <c r="D1" s="3529"/>
      <c r="E1" s="3529"/>
      <c r="F1" s="3529"/>
      <c r="G1" s="3529"/>
      <c r="H1" s="3529"/>
      <c r="I1" s="3529"/>
      <c r="J1" s="3529"/>
      <c r="K1" s="3529"/>
      <c r="L1" s="3529"/>
      <c r="M1" s="3529"/>
      <c r="N1" s="3529"/>
      <c r="O1" s="3529"/>
      <c r="P1" s="3529"/>
      <c r="Q1" s="3529"/>
      <c r="R1" s="3529"/>
      <c r="S1" s="353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115" zoomScaleNormal="115" workbookViewId="0">
      <selection activeCell="C19" sqref="C1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3208</v>
      </c>
      <c r="D1" s="3078" t="s">
        <v>952</v>
      </c>
      <c r="E1" s="2352" t="s">
        <v>870</v>
      </c>
      <c r="F1" s="2353">
        <f ca="1">J53</f>
        <v>50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1897</v>
      </c>
      <c r="C2" s="2043"/>
      <c r="D2" s="2041"/>
      <c r="E2" s="2042"/>
      <c r="F2" s="2042"/>
      <c r="G2" s="1577"/>
      <c r="H2" s="2043"/>
      <c r="I2" s="2043"/>
      <c r="J2" s="2043"/>
      <c r="K2" s="2044"/>
      <c r="L2" s="2043"/>
      <c r="M2" s="2043"/>
    </row>
    <row r="3" spans="1:33" ht="18" customHeight="1" thickBot="1">
      <c r="A3" s="833" t="s">
        <v>519</v>
      </c>
      <c r="B3" s="834">
        <f ca="1">IF(ISERROR(B2*10000/F43),0,ROUND(B2*10000/F43,0))</f>
        <v>370</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480</v>
      </c>
      <c r="D6" s="2462" t="s">
        <v>2461</v>
      </c>
      <c r="E6" s="784" t="s">
        <v>1738</v>
      </c>
      <c r="F6" s="785">
        <f ca="1">INDIRECT("'数据-取费表'!u"&amp;$G$1)</f>
        <v>0.27</v>
      </c>
      <c r="G6" s="1579"/>
      <c r="H6" s="2469" t="s">
        <v>1824</v>
      </c>
      <c r="I6" s="3487" t="s">
        <v>2462</v>
      </c>
      <c r="J6" s="783">
        <f ca="1">ROUND(M6*M8*M7*(1-M9)/10000,0)</f>
        <v>0</v>
      </c>
      <c r="K6" s="341" t="s">
        <v>1737</v>
      </c>
      <c r="L6" s="784" t="s">
        <v>1738</v>
      </c>
      <c r="M6" s="785">
        <f ca="1">INDIRECT("'数据-取费表'!z"&amp;$G$1)</f>
        <v>0</v>
      </c>
    </row>
    <row r="7" spans="1:33" ht="18" customHeight="1">
      <c r="A7" s="2465"/>
      <c r="B7" s="3488"/>
      <c r="C7" s="788"/>
      <c r="D7" s="789"/>
      <c r="E7" s="784" t="s">
        <v>638</v>
      </c>
      <c r="F7" s="785">
        <f ca="1">IF(INDIRECT("'数据-取费表'!ah"&amp;$G$1)="",INDIRECT("'数据-取费表'!k"&amp;$G$1),INDIRECT("'数据-取费表'!ah"&amp;$G$1))</f>
        <v>51281.989903754205</v>
      </c>
      <c r="G7" s="1579"/>
      <c r="H7" s="2454"/>
      <c r="I7" s="3488"/>
      <c r="J7" s="788"/>
      <c r="K7" s="789"/>
      <c r="L7" s="784" t="s">
        <v>638</v>
      </c>
      <c r="M7" s="785">
        <f ca="1">F7</f>
        <v>51281.989903754205</v>
      </c>
    </row>
    <row r="8" spans="1:33" ht="18" customHeight="1">
      <c r="A8" s="2458"/>
      <c r="B8" s="3489"/>
      <c r="C8" s="788"/>
      <c r="D8" s="789"/>
      <c r="E8" s="784" t="s">
        <v>639</v>
      </c>
      <c r="F8" s="785">
        <f ca="1">INDIRECT("'数据-取费表'!ai"&amp;$G$1)</f>
        <v>365</v>
      </c>
      <c r="G8" s="1579"/>
      <c r="H8" s="2454"/>
      <c r="I8" s="3489"/>
      <c r="J8" s="788"/>
      <c r="K8" s="789"/>
      <c r="L8" s="784" t="s">
        <v>639</v>
      </c>
      <c r="M8" s="785">
        <f ca="1">INDIRECT("'数据-取费表'!ai"&amp;$G$1)</f>
        <v>365</v>
      </c>
    </row>
    <row r="9" spans="1:33" ht="18" customHeight="1">
      <c r="A9" s="786"/>
      <c r="B9" s="3490"/>
      <c r="C9" s="788"/>
      <c r="D9" s="789"/>
      <c r="E9" s="784" t="s">
        <v>1741</v>
      </c>
      <c r="F9" s="794">
        <f ca="1">INDIRECT("'数据-取费表'!w"&amp;$G$1)</f>
        <v>0.05</v>
      </c>
      <c r="G9" s="1579"/>
      <c r="H9" s="2470"/>
      <c r="I9" s="3489"/>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1897</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8.375</v>
      </c>
      <c r="K42" s="2068"/>
      <c r="L42" s="1974"/>
      <c r="M42" s="1974"/>
    </row>
    <row r="43" spans="1:18" ht="18" customHeight="1" thickBot="1">
      <c r="A43" s="823" t="s">
        <v>1787</v>
      </c>
      <c r="B43" s="824" t="s">
        <v>1810</v>
      </c>
      <c r="C43" s="825">
        <f ca="1">ROUND(C40*10000/F43,0)</f>
        <v>370</v>
      </c>
      <c r="D43" s="826" t="s">
        <v>1811</v>
      </c>
      <c r="E43" s="827" t="s">
        <v>1812</v>
      </c>
      <c r="F43" s="828">
        <f ca="1">INDIRECT("'数据-取费表'!k"&amp;$G$1)</f>
        <v>51281.989903754205</v>
      </c>
      <c r="G43" s="2048"/>
      <c r="H43" s="1974"/>
      <c r="I43" s="847" t="s">
        <v>1822</v>
      </c>
      <c r="J43" s="848">
        <f ca="1">1-J42</f>
        <v>-7.375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-8814</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1897</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50</v>
      </c>
      <c r="K53" s="3493" t="s">
        <v>2966</v>
      </c>
      <c r="L53" s="3494"/>
      <c r="O53" s="2366" t="s">
        <v>2388</v>
      </c>
      <c r="P53" s="2364" t="s">
        <v>2389</v>
      </c>
      <c r="Q53" s="2365">
        <f ca="1">J53</f>
        <v>50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1897</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1897</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1897</v>
      </c>
      <c r="R63" s="2368" t="s">
        <v>2392</v>
      </c>
    </row>
    <row r="64" spans="1:18" s="2045" customFormat="1" ht="16.5"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-350</v>
      </c>
      <c r="D66" s="3211" t="s">
        <v>700</v>
      </c>
      <c r="E66" s="3214"/>
      <c r="F66" s="820"/>
      <c r="K66" s="2072"/>
      <c r="O66" s="2363" t="s">
        <v>2379</v>
      </c>
      <c r="P66" s="2364" t="s">
        <v>2405</v>
      </c>
      <c r="Q66" s="2365">
        <f ca="1">C40+J29</f>
        <v>1897</v>
      </c>
      <c r="R66" s="2364" t="s">
        <v>2380</v>
      </c>
    </row>
    <row r="67" spans="1:18" s="2045" customFormat="1" ht="20.25" thickBot="1">
      <c r="A67" s="781" t="s">
        <v>1780</v>
      </c>
      <c r="B67" s="2218" t="s">
        <v>2301</v>
      </c>
      <c r="C67" s="783">
        <f ca="1">ROUND(C66*(1-((1+F69)/(1+F67))^F68)/(F67-F69),0)</f>
        <v>-6917</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50</v>
      </c>
      <c r="O68" s="2366" t="s">
        <v>2383</v>
      </c>
      <c r="P68" s="2364" t="s">
        <v>2413</v>
      </c>
      <c r="Q68" s="2370">
        <f ca="1">L51</f>
        <v>-25241</v>
      </c>
      <c r="R68" s="2371" t="s">
        <v>2416</v>
      </c>
    </row>
    <row r="69" spans="1:18" ht="20.25" thickBot="1">
      <c r="A69" s="790"/>
      <c r="B69" s="791"/>
      <c r="C69" s="792"/>
      <c r="D69" s="816"/>
      <c r="E69" s="784" t="s">
        <v>710</v>
      </c>
      <c r="F69" s="2336"/>
      <c r="O69" s="2366" t="s">
        <v>2384</v>
      </c>
      <c r="P69" s="2372" t="s">
        <v>2398</v>
      </c>
      <c r="Q69" s="2365">
        <f ca="1">ROUND(Q70-Q71*Q72,0)</f>
        <v>-1175</v>
      </c>
      <c r="R69" s="2368"/>
    </row>
    <row r="70" spans="1:18" ht="15.75" thickBot="1">
      <c r="A70" s="823" t="s">
        <v>1787</v>
      </c>
      <c r="B70" s="824" t="s">
        <v>1810</v>
      </c>
      <c r="C70" s="825">
        <f ca="1">ROUND(C67*10000/F70,0)</f>
        <v>-1349</v>
      </c>
      <c r="D70" s="826" t="s">
        <v>1811</v>
      </c>
      <c r="E70" s="827" t="s">
        <v>1812</v>
      </c>
      <c r="F70" s="828">
        <f ca="1">F43</f>
        <v>51281.989903754205</v>
      </c>
      <c r="O70" s="2366" t="s">
        <v>2399</v>
      </c>
      <c r="P70" s="2372" t="s">
        <v>2400</v>
      </c>
      <c r="Q70" s="2365">
        <f ca="1">C39</f>
        <v>96</v>
      </c>
      <c r="R70" s="2364" t="s">
        <v>2380</v>
      </c>
    </row>
    <row r="71" spans="1:18" ht="15.75" thickBot="1">
      <c r="O71" s="2366" t="s">
        <v>2401</v>
      </c>
      <c r="P71" s="2372" t="s">
        <v>2402</v>
      </c>
      <c r="Q71" s="2365">
        <f ca="1">C13</f>
        <v>15887</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1897</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3.5"/>
  <cols>
    <col min="1" max="1" width="34" customWidth="1"/>
    <col min="3" max="3" width="15.875" customWidth="1"/>
    <col min="6" max="6" width="14.625" customWidth="1"/>
    <col min="8" max="8" width="14.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估价期日：2019年7月4日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2730</v>
      </c>
      <c r="C3" s="3239" t="s">
        <v>2030</v>
      </c>
      <c r="D3" s="3238" t="s">
        <v>2734</v>
      </c>
      <c r="E3" s="3233" t="s">
        <v>2031</v>
      </c>
      <c r="F3" s="3233"/>
      <c r="G3" s="3233"/>
      <c r="H3" s="3233" t="s">
        <v>2032</v>
      </c>
      <c r="I3" s="3233"/>
      <c r="J3" s="3233"/>
      <c r="K3" s="3239" t="s">
        <v>2033</v>
      </c>
      <c r="L3" s="3239" t="s">
        <v>2034</v>
      </c>
      <c r="M3" s="3238" t="s">
        <v>2731</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2743</v>
      </c>
      <c r="G4" s="2614" t="s">
        <v>2036</v>
      </c>
      <c r="H4" s="2614" t="s">
        <v>2037</v>
      </c>
      <c r="I4" s="2614" t="s">
        <v>2744</v>
      </c>
      <c r="J4" s="2614" t="s">
        <v>2036</v>
      </c>
      <c r="K4" s="3239"/>
      <c r="L4" s="3239"/>
      <c r="M4" s="3238"/>
      <c r="N4" s="3240"/>
      <c r="O4" s="3238"/>
      <c r="P4" s="3239"/>
      <c r="Q4" s="3239"/>
      <c r="R4" s="3239"/>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41750</v>
      </c>
      <c r="Q5" s="1796">
        <f ca="1">结果表!D42</f>
        <v>6496</v>
      </c>
      <c r="R5" s="1797">
        <f ca="1">结果表!C42</f>
        <v>159280</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f ca="1">结果表!O39</f>
        <v>159280</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2574</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1" t="s">
        <v>2698</v>
      </c>
      <c r="B23" s="3241"/>
      <c r="C23" s="3241"/>
      <c r="D23" s="3241"/>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43669</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3065" t="s">
        <v>3212</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2019-07-23T09:35:35Z</dcterms:modified>
</cp:coreProperties>
</file>