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36" windowWidth="11568" windowHeight="9612" tabRatio="875" firstSheet="7"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23" i="68" l="1"/>
  <c r="H8" i="68"/>
  <c r="B18" i="68"/>
  <c r="F2" i="68"/>
  <c r="B2" i="68"/>
  <c r="J9" i="68"/>
  <c r="J2" i="68"/>
  <c r="G9" i="68"/>
  <c r="I5" i="68"/>
  <c r="I13" i="3"/>
  <c r="BB13" i="3"/>
  <c r="BA13" i="3"/>
  <c r="AZ13" i="3"/>
  <c r="BB19" i="3"/>
  <c r="BA19" i="3"/>
  <c r="AZ19" i="3"/>
  <c r="AN14" i="3"/>
  <c r="BR14" i="3"/>
  <c r="BL14" i="3"/>
  <c r="AZ14" i="3"/>
  <c r="M15" i="3"/>
  <c r="BD15" i="3"/>
  <c r="BA15" i="3"/>
  <c r="AZ15" i="3"/>
  <c r="AZ5" i="3"/>
  <c r="H13" i="3"/>
  <c r="G13" i="3"/>
  <c r="H19" i="3"/>
  <c r="G19" i="3"/>
  <c r="AC14" i="3"/>
  <c r="G14" i="3"/>
  <c r="H15" i="3"/>
  <c r="G15" i="3"/>
  <c r="G5" i="3"/>
  <c r="B3" i="3"/>
  <c r="AY6" i="3"/>
  <c r="D3" i="6"/>
  <c r="F19" i="6"/>
  <c r="E19" i="6"/>
  <c r="BB5" i="3"/>
  <c r="E8" i="6"/>
  <c r="D19" i="6"/>
  <c r="D20" i="6"/>
  <c r="E3" i="6"/>
  <c r="D22" i="6"/>
  <c r="D23" i="6"/>
  <c r="D24" i="6"/>
  <c r="D25" i="6"/>
  <c r="D26" i="6"/>
  <c r="D27" i="6"/>
  <c r="BR5" i="3"/>
  <c r="G28" i="6"/>
  <c r="E28" i="6"/>
  <c r="D28" i="6"/>
  <c r="D29" i="6"/>
  <c r="D30" i="6"/>
  <c r="D31" i="6"/>
  <c r="F27" i="6"/>
  <c r="F31" i="6"/>
  <c r="I6" i="6"/>
  <c r="C13" i="39"/>
  <c r="F13" i="39"/>
  <c r="AA13" i="39"/>
  <c r="C40" i="39"/>
  <c r="F40" i="39"/>
  <c r="AA40" i="39"/>
  <c r="H13" i="39"/>
  <c r="AB13" i="39"/>
  <c r="H40" i="39"/>
  <c r="AB40" i="39"/>
  <c r="J13" i="39"/>
  <c r="AC13" i="39"/>
  <c r="J40" i="39"/>
  <c r="AC40" i="39"/>
  <c r="F6" i="15"/>
  <c r="F8" i="15"/>
  <c r="K7" i="1"/>
  <c r="F7" i="15"/>
  <c r="F9" i="15"/>
  <c r="C6" i="15"/>
  <c r="C1" i="65"/>
  <c r="N1" i="65"/>
  <c r="N4" i="65"/>
  <c r="C4" i="65"/>
  <c r="B39" i="1"/>
  <c r="F11" i="15"/>
  <c r="C10" i="15"/>
  <c r="C5" i="15"/>
  <c r="C32" i="15"/>
  <c r="C33" i="15"/>
  <c r="R20" i="6"/>
  <c r="R7" i="1"/>
  <c r="F35" i="15"/>
  <c r="C34" i="15"/>
  <c r="C31" i="15"/>
  <c r="M7" i="1"/>
  <c r="K14" i="1"/>
  <c r="M14" i="1"/>
  <c r="BA5" i="3"/>
  <c r="G21" i="6"/>
  <c r="E21" i="6"/>
  <c r="E27" i="6"/>
  <c r="K20" i="6"/>
  <c r="S7" i="1"/>
  <c r="K19" i="6"/>
  <c r="S6" i="1"/>
  <c r="K21" i="6"/>
  <c r="S8" i="1"/>
  <c r="S9" i="1"/>
  <c r="S10" i="1"/>
  <c r="S11" i="1"/>
  <c r="S12" i="1"/>
  <c r="S13" i="1"/>
  <c r="S16" i="1"/>
  <c r="T7" i="1"/>
  <c r="C14" i="15"/>
  <c r="C15" i="15"/>
  <c r="F16" i="15"/>
  <c r="C16" i="15"/>
  <c r="F43" i="15"/>
  <c r="C17" i="15"/>
  <c r="C18" i="15"/>
  <c r="C19" i="15"/>
  <c r="C20" i="15"/>
  <c r="H1" i="65"/>
  <c r="I5" i="65"/>
  <c r="E2" i="65"/>
  <c r="B40" i="1"/>
  <c r="F24" i="15"/>
  <c r="C23" i="15"/>
  <c r="F26" i="15"/>
  <c r="C26" i="15"/>
  <c r="C24" i="15"/>
  <c r="C27" i="15"/>
  <c r="B2" i="1"/>
  <c r="C42" i="1"/>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J60" i="15"/>
  <c r="L46" i="15"/>
  <c r="B2" i="15"/>
  <c r="D10" i="12"/>
  <c r="F6" i="73"/>
  <c r="F8" i="73"/>
  <c r="K8" i="1"/>
  <c r="F7" i="73"/>
  <c r="F9" i="73"/>
  <c r="C6" i="73"/>
  <c r="F11" i="73"/>
  <c r="C10" i="73"/>
  <c r="C5" i="73"/>
  <c r="C32" i="73"/>
  <c r="C33" i="73"/>
  <c r="R8" i="1"/>
  <c r="F35" i="73"/>
  <c r="C34" i="73"/>
  <c r="C31" i="73"/>
  <c r="M8" i="1"/>
  <c r="T8" i="1"/>
  <c r="C14" i="73"/>
  <c r="C15" i="73"/>
  <c r="F16" i="73"/>
  <c r="C16" i="73"/>
  <c r="F43" i="73"/>
  <c r="C17" i="73"/>
  <c r="C18" i="73"/>
  <c r="C19" i="73"/>
  <c r="C20" i="73"/>
  <c r="F24" i="73"/>
  <c r="C23" i="73"/>
  <c r="F26" i="73"/>
  <c r="C26" i="73"/>
  <c r="C24" i="73"/>
  <c r="C27" i="73"/>
  <c r="C28" i="73"/>
  <c r="C29" i="73"/>
  <c r="F36" i="73"/>
  <c r="C36" i="73"/>
  <c r="F13" i="73"/>
  <c r="C13" i="73"/>
  <c r="F37" i="73"/>
  <c r="C37" i="73"/>
  <c r="F38" i="73"/>
  <c r="C38" i="73"/>
  <c r="C30" i="73"/>
  <c r="C39" i="73"/>
  <c r="F42" i="73"/>
  <c r="F40" i="73"/>
  <c r="G19" i="4"/>
  <c r="F8" i="1"/>
  <c r="L48" i="73"/>
  <c r="J51" i="73"/>
  <c r="J53" i="73"/>
  <c r="F1" i="73"/>
  <c r="AE8" i="1"/>
  <c r="F41" i="73"/>
  <c r="C40" i="73"/>
  <c r="M6" i="73"/>
  <c r="M8" i="73"/>
  <c r="M7" i="73"/>
  <c r="M9" i="73"/>
  <c r="J6" i="73"/>
  <c r="M11" i="73"/>
  <c r="J10" i="73"/>
  <c r="J5" i="73"/>
  <c r="J26" i="73"/>
  <c r="J29" i="73"/>
  <c r="J60" i="73"/>
  <c r="L46" i="73"/>
  <c r="B2" i="73"/>
  <c r="E10" i="12"/>
  <c r="D3" i="21"/>
  <c r="C7" i="21"/>
  <c r="E7" i="21"/>
  <c r="C58" i="21"/>
  <c r="D58" i="21"/>
  <c r="E58" i="21"/>
  <c r="F58" i="21"/>
  <c r="G58" i="21"/>
  <c r="H58" i="21"/>
  <c r="I58" i="21"/>
  <c r="J58" i="21"/>
  <c r="K58" i="21"/>
  <c r="L58" i="21"/>
  <c r="M58" i="21"/>
  <c r="N58" i="21"/>
  <c r="O58" i="21"/>
  <c r="F7" i="21"/>
  <c r="AA7" i="21"/>
  <c r="R48" i="21"/>
  <c r="G7" i="21"/>
  <c r="H7" i="21"/>
  <c r="AB7" i="21"/>
  <c r="T48" i="21"/>
  <c r="I7" i="21"/>
  <c r="J7" i="21"/>
  <c r="AC7" i="21"/>
  <c r="V48" i="21"/>
  <c r="R49" i="21"/>
  <c r="C49" i="21"/>
  <c r="B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5" i="12"/>
  <c r="C27" i="12"/>
  <c r="D26" i="12"/>
  <c r="C32" i="12"/>
  <c r="D30" i="12"/>
  <c r="C34" i="12"/>
  <c r="D33" i="12"/>
  <c r="C36" i="12"/>
  <c r="B2" i="12"/>
  <c r="D19" i="9"/>
  <c r="C107" i="9"/>
  <c r="C105" i="9"/>
  <c r="C110" i="9"/>
  <c r="G24" i="68"/>
  <c r="D18" i="68"/>
  <c r="F33" i="21"/>
  <c r="AA33" i="21"/>
  <c r="H33" i="21"/>
  <c r="AB33" i="21"/>
  <c r="J33" i="21"/>
  <c r="AC33" i="21"/>
  <c r="AL14" i="3"/>
  <c r="D23" i="68"/>
  <c r="D21" i="68"/>
  <c r="I20" i="68"/>
  <c r="F8" i="68"/>
  <c r="Q73" i="73"/>
  <c r="Q60" i="73"/>
  <c r="D60" i="73"/>
  <c r="Q59" i="73"/>
  <c r="K59" i="73"/>
  <c r="P75" i="73"/>
  <c r="F58" i="73"/>
  <c r="Q52" i="73"/>
  <c r="J50" i="73"/>
  <c r="M47" i="73"/>
  <c r="F34" i="73"/>
  <c r="F61" i="73"/>
  <c r="F33" i="73"/>
  <c r="F60" i="73"/>
  <c r="F32" i="73"/>
  <c r="F59" i="73"/>
  <c r="F31" i="73"/>
  <c r="F28" i="73"/>
  <c r="F23" i="73"/>
  <c r="D24" i="73"/>
  <c r="D23" i="73"/>
  <c r="D22" i="73"/>
  <c r="F21" i="73"/>
  <c r="M20" i="73"/>
  <c r="F20" i="73"/>
  <c r="M19" i="73"/>
  <c r="M18" i="73"/>
  <c r="F18" i="73"/>
  <c r="M17" i="73"/>
  <c r="F17" i="73"/>
  <c r="F15" i="73"/>
  <c r="G1" i="73"/>
  <c r="L47" i="73"/>
  <c r="L59" i="73"/>
  <c r="F50" i="73"/>
  <c r="P62" i="73"/>
  <c r="G40" i="39"/>
  <c r="G9" i="39"/>
  <c r="G48" i="39"/>
  <c r="G7" i="39"/>
  <c r="M24" i="73"/>
  <c r="M22" i="73"/>
  <c r="J36" i="73"/>
  <c r="M28" i="73"/>
  <c r="J15" i="73"/>
  <c r="M26" i="73"/>
  <c r="M27" i="73"/>
  <c r="M23" i="73"/>
  <c r="L56" i="73"/>
  <c r="L57" i="73"/>
  <c r="L58" i="73"/>
  <c r="I54" i="73"/>
  <c r="J57" i="73"/>
  <c r="J55" i="73"/>
  <c r="J58" i="73"/>
  <c r="Q51" i="73"/>
  <c r="L60" i="73"/>
  <c r="Q49" i="73"/>
  <c r="J59" i="73"/>
  <c r="F65" i="73"/>
  <c r="Q72" i="73"/>
  <c r="F63" i="73"/>
  <c r="F67" i="73"/>
  <c r="F64" i="73"/>
  <c r="Q75" i="73"/>
  <c r="Q62" i="73"/>
  <c r="Q53" i="73"/>
  <c r="Q67" i="73"/>
  <c r="Q58" i="73"/>
  <c r="Q61" i="73"/>
  <c r="Q74" i="73"/>
  <c r="I40" i="39"/>
  <c r="E40" i="39"/>
  <c r="B26" i="68"/>
  <c r="B25" i="68"/>
  <c r="I48" i="39"/>
  <c r="E48" i="39"/>
  <c r="I9" i="39"/>
  <c r="E9" i="39"/>
  <c r="I7" i="39"/>
  <c r="E7" i="39"/>
  <c r="W20" i="1"/>
  <c r="W21" i="1"/>
  <c r="U7" i="1"/>
  <c r="F20" i="6"/>
  <c r="AL13" i="3"/>
  <c r="F6" i="68"/>
  <c r="F4" i="68"/>
  <c r="F7" i="68"/>
  <c r="AD13" i="3"/>
  <c r="F11" i="68"/>
  <c r="AH13" i="3"/>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D19" i="4"/>
  <c r="I19" i="4"/>
  <c r="H19" i="4"/>
  <c r="F9" i="1"/>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2" i="6"/>
  <c r="E23" i="6"/>
  <c r="E24" i="6"/>
  <c r="E25" i="6"/>
  <c r="E26" i="6"/>
  <c r="D38" i="4"/>
  <c r="C39" i="4"/>
  <c r="C35" i="4"/>
  <c r="E16" i="12"/>
  <c r="F14" i="12"/>
  <c r="F15" i="12"/>
  <c r="F17" i="12"/>
  <c r="E19" i="12"/>
  <c r="E21" i="12"/>
  <c r="E22" i="12"/>
  <c r="F23" i="12"/>
  <c r="F24" i="12"/>
  <c r="F25"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5" i="3"/>
  <c r="H16" i="3"/>
  <c r="AC16" i="3"/>
  <c r="H17" i="3"/>
  <c r="AC17" i="3"/>
  <c r="H18" i="3"/>
  <c r="AC18" i="3"/>
  <c r="BB18" i="3"/>
  <c r="BC18" i="3"/>
  <c r="BD18" i="3"/>
  <c r="BE18" i="3"/>
  <c r="BF18" i="3"/>
  <c r="BG18" i="3"/>
  <c r="BH18" i="3"/>
  <c r="BI18" i="3"/>
  <c r="BJ18" i="3"/>
  <c r="BK18" i="3"/>
  <c r="BM18" i="3"/>
  <c r="BN18" i="3"/>
  <c r="BO18" i="3"/>
  <c r="BP18" i="3"/>
  <c r="BR18" i="3"/>
  <c r="BS18" i="3"/>
  <c r="BT18" i="3"/>
  <c r="AC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D77" i="21"/>
  <c r="E77" i="21"/>
  <c r="F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L17" i="3"/>
  <c r="BL15" i="3"/>
  <c r="BA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c r="BK5" i="3"/>
  <c r="BP5" i="3"/>
  <c r="BN5" i="3"/>
  <c r="BL18" i="3"/>
  <c r="AZ18" i="3"/>
  <c r="BC5" i="3"/>
  <c r="BD5" i="3"/>
  <c r="BS5" i="3"/>
  <c r="BQ5" i="3"/>
  <c r="BL16" i="3"/>
  <c r="BM5"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c r="B78" i="46"/>
  <c r="D69" i="46"/>
  <c r="E69" i="46"/>
  <c r="B67" i="46"/>
  <c r="E47" i="46"/>
  <c r="E58" i="46"/>
  <c r="B56" i="46"/>
  <c r="A4" i="64"/>
  <c r="A4" i="51"/>
  <c r="B6" i="63"/>
  <c r="C51" i="10"/>
  <c r="A9" i="51"/>
  <c r="B9"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c r="C46" i="36"/>
  <c r="C59" i="34"/>
  <c r="C48" i="35"/>
  <c r="D48" i="35"/>
  <c r="C52" i="37"/>
  <c r="D52" i="37"/>
  <c r="O19" i="46"/>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A9" i="64"/>
  <c r="E4" i="4"/>
  <c r="C4" i="4"/>
  <c r="B20" i="55"/>
  <c r="B70" i="63"/>
  <c r="G66" i="36"/>
  <c r="J18" i="36"/>
  <c r="W18" i="36"/>
  <c r="AC18" i="36"/>
  <c r="AG6" i="1"/>
  <c r="L20" i="6"/>
  <c r="B21" i="55"/>
  <c r="B72" i="63"/>
  <c r="R9" i="1"/>
  <c r="C45" i="9"/>
  <c r="H14" i="66"/>
  <c r="B7" i="66"/>
  <c r="G6" i="1"/>
  <c r="G7" i="1"/>
  <c r="G13"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R49" i="39"/>
  <c r="H12" i="39"/>
  <c r="AB12" i="39"/>
  <c r="H9" i="39"/>
  <c r="AB9" i="39"/>
  <c r="T49" i="39"/>
  <c r="J12" i="39"/>
  <c r="AC12"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O40" i="9"/>
  <c r="K31" i="9"/>
  <c r="K32" i="9"/>
  <c r="O39" i="9"/>
  <c r="K29" i="9"/>
  <c r="K30" i="9"/>
  <c r="R6" i="54"/>
  <c r="B50" i="63"/>
  <c r="N76" i="9"/>
  <c r="N69" i="9"/>
  <c r="D63" i="9"/>
  <c r="D71" i="9"/>
  <c r="D66" i="9"/>
  <c r="N72" i="9"/>
  <c r="D73" i="9"/>
  <c r="N73" i="9"/>
  <c r="C103" i="9"/>
  <c r="C111" i="9"/>
  <c r="C104" i="9"/>
  <c r="C113" i="9"/>
  <c r="C114" i="9"/>
  <c r="C115" i="9"/>
  <c r="D76" i="9"/>
  <c r="D74" i="9"/>
  <c r="N74" i="9"/>
  <c r="O77" i="9"/>
  <c r="O79" i="9"/>
  <c r="C46" i="9"/>
  <c r="K33" i="9"/>
  <c r="M26" i="15"/>
  <c r="L47" i="15"/>
  <c r="B11" i="67"/>
  <c r="L49" i="44"/>
  <c r="M28" i="44"/>
  <c r="N7" i="65"/>
  <c r="L48" i="44"/>
  <c r="E8" i="67"/>
  <c r="M24" i="15"/>
  <c r="M22" i="15"/>
  <c r="B9" i="67"/>
  <c r="F45" i="44"/>
  <c r="F12" i="67"/>
  <c r="F40" i="44"/>
  <c r="F15" i="44"/>
  <c r="F28" i="44"/>
  <c r="J17" i="44"/>
  <c r="B10" i="67"/>
  <c r="N3" i="65"/>
  <c r="F37" i="44"/>
  <c r="F46" i="44"/>
  <c r="M28" i="15"/>
  <c r="M29" i="44"/>
  <c r="F8" i="44"/>
  <c r="F39" i="44"/>
  <c r="F14" i="67"/>
  <c r="M10" i="44"/>
  <c r="M24" i="44"/>
  <c r="F18" i="44"/>
  <c r="B14" i="67"/>
  <c r="B8" i="67"/>
  <c r="J36" i="15"/>
  <c r="F43" i="44"/>
  <c r="J15" i="15"/>
  <c r="F9" i="67"/>
  <c r="F8" i="67"/>
  <c r="M27" i="15"/>
  <c r="B13" i="67"/>
  <c r="M25" i="44"/>
  <c r="E10" i="67"/>
  <c r="E13" i="67"/>
  <c r="N6" i="65"/>
  <c r="F10" i="67"/>
  <c r="F38" i="44"/>
  <c r="F11" i="44"/>
  <c r="F9" i="44"/>
  <c r="N5" i="65"/>
  <c r="M31" i="44"/>
  <c r="E14" i="67"/>
  <c r="M23" i="44"/>
  <c r="F10" i="44"/>
  <c r="M23" i="15"/>
  <c r="F11" i="67"/>
  <c r="E9" i="67"/>
  <c r="E11" i="67"/>
  <c r="C19" i="44"/>
  <c r="F13" i="67"/>
  <c r="M29" i="15"/>
  <c r="M11" i="44"/>
  <c r="B12" i="67"/>
  <c r="M29" i="73"/>
  <c r="M8" i="44"/>
  <c r="M30" i="44"/>
  <c r="E12" i="67"/>
  <c r="M26" i="44"/>
  <c r="F49" i="73"/>
  <c r="C48" i="73"/>
  <c r="F70" i="73"/>
  <c r="F103" i="39"/>
  <c r="H23" i="39"/>
  <c r="AB23" i="39"/>
  <c r="AB45" i="39"/>
  <c r="W40" i="39"/>
  <c r="U40" i="39"/>
  <c r="F23" i="21"/>
  <c r="S23" i="21"/>
  <c r="F85" i="21"/>
  <c r="G85" i="21"/>
  <c r="J23" i="21"/>
  <c r="W23" i="21"/>
  <c r="H23" i="21"/>
  <c r="U23" i="21"/>
  <c r="AC23" i="21"/>
  <c r="AB23" i="21"/>
  <c r="AA23" i="21"/>
  <c r="AA33" i="39"/>
  <c r="AC33" i="39"/>
  <c r="AB33" i="39"/>
  <c r="AB10" i="21"/>
  <c r="S10" i="21"/>
  <c r="W10" i="21"/>
  <c r="G123" i="21"/>
  <c r="H123" i="21"/>
  <c r="I123" i="21"/>
  <c r="J123" i="21"/>
  <c r="K123" i="21"/>
  <c r="L123" i="21"/>
  <c r="M123" i="21"/>
  <c r="H42" i="21"/>
  <c r="AB42" i="21"/>
  <c r="J42" i="21"/>
  <c r="AC42" i="21"/>
  <c r="F42" i="21"/>
  <c r="S42" i="21"/>
  <c r="W43" i="21"/>
  <c r="U43" i="21"/>
  <c r="AA43" i="21"/>
  <c r="U42" i="21"/>
  <c r="F32" i="21"/>
  <c r="F101" i="21"/>
  <c r="G101" i="21"/>
  <c r="H101" i="21"/>
  <c r="I101" i="21"/>
  <c r="J101" i="21"/>
  <c r="K101" i="21"/>
  <c r="L101" i="21"/>
  <c r="M101" i="21"/>
  <c r="H32" i="21"/>
  <c r="U32" i="21"/>
  <c r="J32" i="21"/>
  <c r="AC32" i="21"/>
  <c r="J37" i="21"/>
  <c r="H37" i="21"/>
  <c r="H113" i="21"/>
  <c r="F37" i="21"/>
  <c r="S39" i="21"/>
  <c r="AC38" i="21"/>
  <c r="U35" i="21"/>
  <c r="AC34" i="21"/>
  <c r="S34" i="21"/>
  <c r="W32" i="21"/>
  <c r="AB32" i="21"/>
  <c r="AA42" i="21"/>
  <c r="W42" i="21"/>
  <c r="U39" i="21"/>
  <c r="AA38" i="21"/>
  <c r="U38" i="21"/>
  <c r="AC36" i="21"/>
  <c r="AA36" i="21"/>
  <c r="AB36" i="21"/>
  <c r="AB34" i="21"/>
  <c r="S35" i="21"/>
  <c r="AC35" i="21"/>
  <c r="D18" i="9"/>
  <c r="M44" i="9"/>
  <c r="M43" i="9"/>
  <c r="S21" i="21"/>
  <c r="F19" i="21"/>
  <c r="AA19" i="21"/>
  <c r="J19" i="21"/>
  <c r="W19" i="21"/>
  <c r="G81" i="21"/>
  <c r="H19" i="21"/>
  <c r="AB19" i="21"/>
  <c r="S19" i="21"/>
  <c r="AC19" i="21"/>
  <c r="F79" i="21"/>
  <c r="G79" i="21"/>
  <c r="H17" i="21"/>
  <c r="AB17" i="21"/>
  <c r="F15" i="21"/>
  <c r="S15" i="21"/>
  <c r="G77" i="21"/>
  <c r="H15" i="21"/>
  <c r="U15" i="21"/>
  <c r="J15" i="21"/>
  <c r="W15" i="21"/>
  <c r="AB15" i="21"/>
  <c r="AC15" i="21"/>
  <c r="AA9" i="21"/>
  <c r="W8" i="21"/>
  <c r="AB8" i="21"/>
  <c r="S29" i="39"/>
  <c r="W29" i="39"/>
  <c r="S41" i="39"/>
  <c r="AB43" i="39"/>
  <c r="W41" i="39"/>
  <c r="U41" i="39"/>
  <c r="AC44" i="39"/>
  <c r="AB44" i="39"/>
  <c r="W43" i="39"/>
  <c r="W45" i="39"/>
  <c r="S45" i="39"/>
  <c r="U14" i="39"/>
  <c r="W14" i="39"/>
  <c r="S31" i="39"/>
  <c r="W31" i="39"/>
  <c r="F101" i="39"/>
  <c r="G101" i="39"/>
  <c r="F27" i="39"/>
  <c r="AA27" i="39"/>
  <c r="J27" i="39"/>
  <c r="AC27" i="39"/>
  <c r="H27" i="39"/>
  <c r="AB27" i="39"/>
  <c r="S27" i="39"/>
  <c r="U27" i="39"/>
  <c r="W27" i="39"/>
  <c r="W23" i="39"/>
  <c r="S23" i="39"/>
  <c r="H19" i="39"/>
  <c r="U19" i="39"/>
  <c r="F93" i="39"/>
  <c r="G93" i="39"/>
  <c r="F19" i="39"/>
  <c r="J19" i="39"/>
  <c r="F17" i="39"/>
  <c r="AA17" i="39"/>
  <c r="J17" i="39"/>
  <c r="W17" i="39"/>
  <c r="F91" i="39"/>
  <c r="G91" i="39"/>
  <c r="U9" i="21"/>
  <c r="W9" i="21"/>
  <c r="A30" i="51"/>
  <c r="B22" i="63"/>
  <c r="A30" i="64"/>
  <c r="G21" i="43"/>
  <c r="G27" i="12"/>
  <c r="D24" i="44"/>
  <c r="G22" i="43"/>
  <c r="D23" i="15"/>
  <c r="BO5" i="3"/>
  <c r="F29" i="6"/>
  <c r="H16" i="1"/>
  <c r="BL13" i="3"/>
  <c r="AC5" i="3"/>
  <c r="E53" i="40"/>
  <c r="E58" i="39"/>
  <c r="D12" i="11"/>
  <c r="C12" i="11"/>
  <c r="L16" i="4"/>
  <c r="K17" i="4"/>
  <c r="A22" i="51"/>
  <c r="B16" i="63"/>
  <c r="D58" i="33"/>
  <c r="E58" i="33"/>
  <c r="F58" i="33"/>
  <c r="G58" i="33"/>
  <c r="H58" i="33"/>
  <c r="I58" i="33"/>
  <c r="J58" i="33"/>
  <c r="K58" i="33"/>
  <c r="L58" i="33"/>
  <c r="M58" i="33"/>
  <c r="N58" i="33"/>
  <c r="O58" i="33"/>
  <c r="J7" i="33"/>
  <c r="C67" i="40"/>
  <c r="D65" i="40"/>
  <c r="E65" i="40"/>
  <c r="C53" i="10"/>
  <c r="K5" i="54"/>
  <c r="A18" i="64"/>
  <c r="B74" i="63"/>
  <c r="A18" i="51"/>
  <c r="B14" i="63"/>
  <c r="L5" i="54"/>
  <c r="B39" i="63"/>
  <c r="T41" i="4"/>
  <c r="A17" i="51"/>
  <c r="B13" i="63"/>
  <c r="O41" i="9"/>
  <c r="R8" i="54"/>
  <c r="B54" i="63"/>
  <c r="I14" i="66"/>
  <c r="B8" i="66"/>
  <c r="L76" i="9"/>
  <c r="R7" i="54"/>
  <c r="B52" i="63"/>
  <c r="H14" i="48"/>
  <c r="H15" i="48"/>
  <c r="M3" i="46"/>
  <c r="M12" i="46"/>
  <c r="N9" i="46"/>
  <c r="M2" i="46"/>
  <c r="N1" i="46"/>
  <c r="N8" i="46"/>
  <c r="N10" i="46"/>
  <c r="F69" i="46"/>
  <c r="H71" i="46"/>
  <c r="N3" i="46"/>
  <c r="M7" i="46"/>
  <c r="N7" i="46"/>
  <c r="N2" i="46"/>
  <c r="M6" i="46"/>
  <c r="H8" i="48"/>
  <c r="H16" i="48"/>
  <c r="H7" i="48"/>
  <c r="H12" i="48"/>
  <c r="K76" i="9"/>
  <c r="K77" i="9"/>
  <c r="K79" i="9"/>
  <c r="K81" i="9"/>
  <c r="U7" i="21"/>
  <c r="D67" i="40"/>
  <c r="E14" i="52"/>
  <c r="G30" i="6"/>
  <c r="G31" i="6"/>
  <c r="C30" i="44"/>
  <c r="C15" i="43"/>
  <c r="C27" i="43"/>
  <c r="C31" i="43"/>
  <c r="H51" i="46"/>
  <c r="X7" i="46"/>
  <c r="E17" i="46"/>
  <c r="N17" i="46"/>
  <c r="O17" i="46"/>
  <c r="M17" i="46"/>
  <c r="L17" i="46"/>
  <c r="H22" i="46"/>
  <c r="Y11" i="46"/>
  <c r="Y13" i="46"/>
  <c r="H101" i="46"/>
  <c r="H102" i="46"/>
  <c r="G22" i="46"/>
  <c r="J22" i="46"/>
  <c r="F101" i="46"/>
  <c r="F106" i="46"/>
  <c r="D101" i="46"/>
  <c r="D106" i="46"/>
  <c r="E14" i="6"/>
  <c r="E15" i="6"/>
  <c r="E13" i="6"/>
  <c r="E12" i="6"/>
  <c r="E10" i="6"/>
  <c r="E11" i="6"/>
  <c r="AP7" i="1"/>
  <c r="E52" i="37"/>
  <c r="D46" i="36"/>
  <c r="AP16" i="1"/>
  <c r="F22" i="11"/>
  <c r="E48" i="35"/>
  <c r="D59" i="34"/>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5" i="15"/>
  <c r="F50" i="15"/>
  <c r="L59" i="15"/>
  <c r="L58" i="15"/>
  <c r="F49" i="15"/>
  <c r="C29" i="44"/>
  <c r="F70" i="15"/>
  <c r="M9" i="44"/>
  <c r="J8" i="44"/>
  <c r="I54" i="15"/>
  <c r="J57" i="15"/>
  <c r="J55" i="15"/>
  <c r="J58" i="15"/>
  <c r="Q51" i="15"/>
  <c r="L56" i="15"/>
  <c r="E17" i="52"/>
  <c r="E11" i="52"/>
  <c r="E15" i="52"/>
  <c r="E13" i="52"/>
  <c r="B14" i="52"/>
  <c r="E8" i="52"/>
  <c r="E16" i="52"/>
  <c r="B5" i="52"/>
  <c r="B9" i="52"/>
  <c r="B16" i="52"/>
  <c r="B8" i="52"/>
  <c r="B13" i="52"/>
  <c r="E10" i="52"/>
  <c r="E21" i="52"/>
  <c r="M17" i="15"/>
  <c r="F33" i="44"/>
  <c r="F58" i="15"/>
  <c r="F31" i="15"/>
  <c r="M19" i="44"/>
  <c r="I7" i="65"/>
  <c r="J6" i="65"/>
  <c r="J7" i="65"/>
  <c r="I4" i="65"/>
  <c r="J4" i="65"/>
  <c r="J3" i="65"/>
  <c r="I6" i="65"/>
  <c r="J5" i="65"/>
  <c r="C18" i="44"/>
  <c r="I3" i="65"/>
  <c r="G17" i="46"/>
  <c r="C16" i="46"/>
  <c r="AB19" i="39"/>
  <c r="H17" i="39"/>
  <c r="U23" i="39"/>
  <c r="G103" i="39"/>
  <c r="H29" i="39"/>
  <c r="U19" i="21"/>
  <c r="F17" i="21"/>
  <c r="J17" i="21"/>
  <c r="AC17" i="21"/>
  <c r="AA32" i="21"/>
  <c r="S32" i="21"/>
  <c r="S37" i="21"/>
  <c r="AA37" i="21"/>
  <c r="U37" i="21"/>
  <c r="AB37" i="21"/>
  <c r="W37" i="21"/>
  <c r="AC37" i="21"/>
  <c r="AA15" i="21"/>
  <c r="BL5" i="3"/>
  <c r="U17" i="21"/>
  <c r="W17" i="21"/>
  <c r="S17" i="39"/>
  <c r="W19" i="39"/>
  <c r="AC19" i="39"/>
  <c r="S19" i="39"/>
  <c r="AA19" i="39"/>
  <c r="AC17" i="39"/>
  <c r="E29" i="6"/>
  <c r="F30" i="6"/>
  <c r="D46" i="9"/>
  <c r="D10" i="11"/>
  <c r="C21" i="4"/>
  <c r="O5" i="54"/>
  <c r="B45" i="63"/>
  <c r="D13" i="11"/>
  <c r="C13" i="11"/>
  <c r="D16" i="43"/>
  <c r="C16" i="43"/>
  <c r="L38" i="9"/>
  <c r="B14" i="66"/>
  <c r="B1" i="66"/>
  <c r="D45" i="9"/>
  <c r="D44" i="9"/>
  <c r="AH13" i="46"/>
  <c r="I106" i="46"/>
  <c r="H103" i="46"/>
  <c r="A17" i="64"/>
  <c r="A25" i="64"/>
  <c r="A25" i="51"/>
  <c r="B18" i="63"/>
  <c r="S7" i="21"/>
  <c r="B38" i="63"/>
  <c r="A3" i="55"/>
  <c r="B56" i="63"/>
  <c r="E67" i="40"/>
  <c r="F65" i="40"/>
  <c r="AC7" i="33"/>
  <c r="V48" i="33"/>
  <c r="I48" i="33"/>
  <c r="I52" i="33"/>
  <c r="J52" i="33"/>
  <c r="W7" i="33"/>
  <c r="K34" i="9"/>
  <c r="M86" i="9"/>
  <c r="N86" i="9"/>
  <c r="M84" i="9"/>
  <c r="N84" i="9"/>
  <c r="M88" i="9"/>
  <c r="N88" i="9"/>
  <c r="M87" i="9"/>
  <c r="N87" i="9"/>
  <c r="M85" i="9"/>
  <c r="N85" i="9"/>
  <c r="M83" i="9"/>
  <c r="N83" i="9"/>
  <c r="N89" i="9"/>
  <c r="O89" i="9"/>
  <c r="B5" i="59"/>
  <c r="D6" i="59"/>
  <c r="M20" i="46"/>
  <c r="C19" i="46"/>
  <c r="C5" i="59"/>
  <c r="D5"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E16" i="6"/>
  <c r="E60" i="40"/>
  <c r="E65" i="39"/>
  <c r="E61" i="40"/>
  <c r="E66" i="39"/>
  <c r="E63" i="39"/>
  <c r="E58" i="40"/>
  <c r="E64" i="39"/>
  <c r="E59" i="40"/>
  <c r="E67" i="39"/>
  <c r="E62" i="40"/>
  <c r="K26" i="6"/>
  <c r="M26" i="6"/>
  <c r="I26" i="6"/>
  <c r="S26" i="6"/>
  <c r="K24" i="6"/>
  <c r="M24" i="6"/>
  <c r="I24" i="6"/>
  <c r="S24" i="6"/>
  <c r="K22" i="6"/>
  <c r="M22" i="6"/>
  <c r="I22" i="6"/>
  <c r="S22" i="6"/>
  <c r="E30" i="6"/>
  <c r="E31" i="6"/>
  <c r="K23" i="6"/>
  <c r="M23" i="6"/>
  <c r="I23" i="6"/>
  <c r="S23" i="6"/>
  <c r="K25" i="6"/>
  <c r="M25" i="6"/>
  <c r="I25" i="6"/>
  <c r="S25"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3" i="44"/>
  <c r="J12" i="44"/>
  <c r="J7" i="44"/>
  <c r="Q53" i="15"/>
  <c r="Q75" i="15"/>
  <c r="Q62" i="15"/>
  <c r="Q75" i="44"/>
  <c r="Q62" i="44"/>
  <c r="E3" i="65"/>
  <c r="J24" i="73"/>
  <c r="J18" i="73"/>
  <c r="C52" i="73"/>
  <c r="C47" i="73"/>
  <c r="M21" i="6"/>
  <c r="I21" i="6"/>
  <c r="S21" i="6"/>
  <c r="E13" i="3"/>
  <c r="U17" i="39"/>
  <c r="AB17" i="39"/>
  <c r="U29" i="39"/>
  <c r="AB29" i="39"/>
  <c r="S17" i="21"/>
  <c r="AA17" i="21"/>
  <c r="K15" i="1"/>
  <c r="L19" i="6"/>
  <c r="L27" i="6"/>
  <c r="O28" i="46"/>
  <c r="G20" i="46"/>
  <c r="M20" i="6"/>
  <c r="I20" i="6"/>
  <c r="S20" i="6"/>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103" i="3"/>
  <c r="E548" i="3"/>
  <c r="E200" i="3"/>
  <c r="Z6" i="3"/>
  <c r="E62" i="3"/>
  <c r="E454" i="3"/>
  <c r="E389" i="3"/>
  <c r="E520" i="3"/>
  <c r="E230" i="3"/>
  <c r="AK6" i="3"/>
  <c r="E143" i="3"/>
  <c r="C7" i="66"/>
  <c r="C8" i="66"/>
  <c r="C6" i="66"/>
  <c r="F67" i="40"/>
  <c r="G65" i="40"/>
  <c r="W7" i="21"/>
  <c r="M28" i="46"/>
  <c r="N28" i="46"/>
  <c r="F17" i="11"/>
  <c r="C17" i="11"/>
  <c r="C19" i="11"/>
  <c r="C20" i="11"/>
  <c r="C21" i="11"/>
  <c r="C22" i="11"/>
  <c r="C23" i="11"/>
  <c r="B2" i="11"/>
  <c r="E41" i="46"/>
  <c r="C41" i="46"/>
  <c r="C39" i="46"/>
  <c r="G39" i="46"/>
  <c r="I39" i="46"/>
  <c r="C20" i="46"/>
  <c r="C34" i="46"/>
  <c r="E34" i="46"/>
  <c r="S5" i="46"/>
  <c r="S2" i="46"/>
  <c r="T2" i="46"/>
  <c r="V2" i="46"/>
  <c r="S3" i="46"/>
  <c r="S7" i="46"/>
  <c r="T7" i="46"/>
  <c r="V7" i="46"/>
  <c r="S6" i="46"/>
  <c r="S4" i="46"/>
  <c r="T4" i="46"/>
  <c r="V4" i="46"/>
  <c r="K16" i="1"/>
  <c r="M19" i="6"/>
  <c r="K27" i="6"/>
  <c r="G52" i="37"/>
  <c r="H7" i="34"/>
  <c r="J7" i="34"/>
  <c r="R49" i="33"/>
  <c r="E48" i="33"/>
  <c r="G48" i="35"/>
  <c r="G52" i="33"/>
  <c r="H52" i="33"/>
  <c r="G53" i="33"/>
  <c r="H53" i="33"/>
  <c r="F46" i="36"/>
  <c r="G46" i="36"/>
  <c r="H46" i="36"/>
  <c r="I46" i="36"/>
  <c r="J46" i="36"/>
  <c r="K46" i="36"/>
  <c r="L46" i="36"/>
  <c r="M46" i="36"/>
  <c r="N46" i="36"/>
  <c r="O46" i="36"/>
  <c r="F7" i="36"/>
  <c r="F7" i="34"/>
  <c r="C115" i="46"/>
  <c r="D113" i="46"/>
  <c r="J28" i="44"/>
  <c r="J31" i="44"/>
  <c r="J26" i="44"/>
  <c r="J20" i="44"/>
  <c r="C34" i="44"/>
  <c r="C40" i="44"/>
  <c r="C52" i="15"/>
  <c r="C47" i="15"/>
  <c r="J24" i="15"/>
  <c r="J18" i="15"/>
  <c r="L52" i="44"/>
  <c r="F68" i="73"/>
  <c r="C59" i="73"/>
  <c r="C65" i="73"/>
  <c r="F68" i="15"/>
  <c r="F21" i="43"/>
  <c r="C23" i="43"/>
  <c r="D21"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G67" i="40"/>
  <c r="H65" i="40"/>
  <c r="C33" i="46"/>
  <c r="E33" i="46"/>
  <c r="C36" i="46"/>
  <c r="G36" i="46"/>
  <c r="I36" i="46"/>
  <c r="C37" i="46"/>
  <c r="G37" i="46"/>
  <c r="I37" i="46"/>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T13" i="1"/>
  <c r="M16" i="1"/>
  <c r="T9" i="1"/>
  <c r="T11" i="1"/>
  <c r="T12" i="1"/>
  <c r="O16" i="1"/>
  <c r="T10" i="1"/>
  <c r="T6"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E36" i="46"/>
  <c r="G33" i="46"/>
  <c r="I33" i="46"/>
  <c r="Q69" i="44"/>
  <c r="L58" i="44"/>
  <c r="L61" i="44"/>
  <c r="L47" i="44"/>
  <c r="B5" i="11"/>
  <c r="B3" i="11"/>
  <c r="B4" i="11"/>
  <c r="C59" i="15"/>
  <c r="C65" i="15"/>
  <c r="Q49" i="44"/>
  <c r="Q55" i="44"/>
  <c r="Q67" i="44"/>
  <c r="Q58" i="44"/>
  <c r="C60" i="73"/>
  <c r="C16" i="44"/>
  <c r="U33" i="21"/>
  <c r="G48" i="21"/>
  <c r="W33" i="21"/>
  <c r="I48" i="21"/>
  <c r="S33" i="21"/>
  <c r="T16" i="1"/>
  <c r="E63" i="40"/>
  <c r="D13" i="6"/>
  <c r="H24" i="6"/>
  <c r="D8" i="6"/>
  <c r="E45" i="9"/>
  <c r="F44" i="9"/>
  <c r="K38" i="9"/>
  <c r="C14" i="66"/>
  <c r="B2" i="66"/>
  <c r="D11" i="6"/>
  <c r="D9" i="6"/>
  <c r="D15" i="6"/>
  <c r="E44" i="9"/>
  <c r="E46" i="9"/>
  <c r="C22" i="4"/>
  <c r="D10" i="6"/>
  <c r="D6" i="6"/>
  <c r="D14" i="6"/>
  <c r="H23" i="6"/>
  <c r="F45" i="9"/>
  <c r="E68" i="39"/>
  <c r="R24" i="6"/>
  <c r="D12" i="6"/>
  <c r="H25" i="6"/>
  <c r="D5" i="6"/>
  <c r="H22" i="6"/>
  <c r="H26" i="6"/>
  <c r="F46" i="9"/>
  <c r="H67" i="40"/>
  <c r="I65" i="40"/>
  <c r="E29" i="46"/>
  <c r="C30" i="46"/>
  <c r="E30" i="46"/>
  <c r="E35" i="46"/>
  <c r="G35" i="46"/>
  <c r="I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F7" i="67"/>
  <c r="M21" i="15"/>
  <c r="E48" i="21"/>
  <c r="I53" i="21"/>
  <c r="J53" i="21"/>
  <c r="I52" i="21"/>
  <c r="J52" i="21"/>
  <c r="G52" i="21"/>
  <c r="H52" i="21"/>
  <c r="G53" i="21"/>
  <c r="H53" i="21"/>
  <c r="J20" i="15"/>
  <c r="F62" i="15"/>
  <c r="C61" i="15"/>
  <c r="R22" i="6"/>
  <c r="R21" i="6"/>
  <c r="D7" i="66"/>
  <c r="D8" i="66"/>
  <c r="D6" i="66"/>
  <c r="R25" i="6"/>
  <c r="A6" i="64"/>
  <c r="A20" i="51"/>
  <c r="B15" i="63"/>
  <c r="A6" i="51"/>
  <c r="B7" i="63"/>
  <c r="A20" i="64"/>
  <c r="N5" i="54"/>
  <c r="B43" i="63"/>
  <c r="R26" i="6"/>
  <c r="D16" i="6"/>
  <c r="R23" i="6"/>
  <c r="I67" i="40"/>
  <c r="J65" i="40"/>
  <c r="C26" i="46"/>
  <c r="C27" i="46"/>
  <c r="E4" i="67"/>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M21" i="73"/>
  <c r="Q50" i="73"/>
  <c r="F62" i="73"/>
  <c r="C61" i="73"/>
  <c r="C58" i="73"/>
  <c r="J20" i="73"/>
  <c r="C48" i="21"/>
  <c r="E53" i="21"/>
  <c r="F53" i="21"/>
  <c r="E52" i="21"/>
  <c r="R27" i="6"/>
  <c r="R6" i="1"/>
  <c r="R16" i="1"/>
  <c r="I5" i="6"/>
  <c r="J67" i="40"/>
  <c r="K65" i="40"/>
  <c r="E3" i="67"/>
  <c r="B2" i="46"/>
  <c r="D4" i="46"/>
  <c r="C18" i="43"/>
  <c r="C19" i="43"/>
  <c r="C25" i="43"/>
  <c r="C24" i="43"/>
  <c r="C28" i="44"/>
  <c r="C31" i="44"/>
  <c r="K48" i="35"/>
  <c r="L48" i="35"/>
  <c r="M48" i="35"/>
  <c r="N48" i="35"/>
  <c r="O48" i="35"/>
  <c r="J7" i="35"/>
  <c r="K52" i="37"/>
  <c r="B3" i="46"/>
  <c r="AE6" i="1"/>
  <c r="B7" i="67"/>
  <c r="C56" i="73"/>
  <c r="C63" i="73"/>
  <c r="J14" i="73"/>
  <c r="J13" i="73"/>
  <c r="J23" i="73"/>
  <c r="J19" i="73"/>
  <c r="J17" i="73"/>
  <c r="Q71" i="73"/>
  <c r="F52" i="21"/>
  <c r="C8" i="12"/>
  <c r="U13" i="39"/>
  <c r="W13" i="39"/>
  <c r="S13" i="39"/>
  <c r="L65" i="40"/>
  <c r="K67" i="40"/>
  <c r="B4" i="46"/>
  <c r="B2" i="67"/>
  <c r="B4" i="67"/>
  <c r="J59"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L52" i="37"/>
  <c r="F7" i="35"/>
  <c r="H7" i="35"/>
  <c r="J22" i="73"/>
  <c r="J35" i="73"/>
  <c r="C55" i="73"/>
  <c r="C64" i="73"/>
  <c r="C57" i="73"/>
  <c r="C66" i="73"/>
  <c r="C67" i="73"/>
  <c r="C70" i="73"/>
  <c r="J16" i="73"/>
  <c r="J25" i="73"/>
  <c r="J22" i="15"/>
  <c r="J16" i="15"/>
  <c r="J25" i="15"/>
  <c r="L67" i="40"/>
  <c r="M65" i="40"/>
  <c r="B3" i="67"/>
  <c r="C55" i="15"/>
  <c r="C64" i="15"/>
  <c r="C63" i="15"/>
  <c r="Q71" i="15"/>
  <c r="B4" i="43"/>
  <c r="B5" i="43"/>
  <c r="B3" i="43"/>
  <c r="Q72" i="44"/>
  <c r="C39" i="44"/>
  <c r="C32" i="44"/>
  <c r="C42" i="44"/>
  <c r="C43" i="44"/>
  <c r="J24" i="44"/>
  <c r="J15" i="44"/>
  <c r="J25" i="44"/>
  <c r="AB7" i="35"/>
  <c r="T38" i="35"/>
  <c r="G38" i="35"/>
  <c r="U7" i="35"/>
  <c r="AA7" i="35"/>
  <c r="R38" i="35"/>
  <c r="S7" i="35"/>
  <c r="M52" i="37"/>
  <c r="I42" i="35"/>
  <c r="J42" i="35"/>
  <c r="L51" i="73"/>
  <c r="Q70" i="73"/>
  <c r="Q69" i="73"/>
  <c r="J39" i="73"/>
  <c r="J40" i="73"/>
  <c r="C46" i="73"/>
  <c r="Q68" i="73"/>
  <c r="Q66" i="73"/>
  <c r="Q76" i="73"/>
  <c r="Q57" i="73"/>
  <c r="Q63" i="73"/>
  <c r="Q48" i="73"/>
  <c r="Q54" i="73"/>
  <c r="C43" i="73"/>
  <c r="J42" i="73"/>
  <c r="J43" i="73"/>
  <c r="N65" i="40"/>
  <c r="N67" i="40"/>
  <c r="M67" i="40"/>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F7" i="37"/>
  <c r="R39" i="35"/>
  <c r="E38" i="35"/>
  <c r="G42" i="35"/>
  <c r="H42" i="35"/>
  <c r="G43" i="35"/>
  <c r="H43" i="35"/>
  <c r="L51" i="15"/>
  <c r="B3" i="73"/>
  <c r="E8" i="12"/>
  <c r="Q68" i="15"/>
  <c r="F9" i="40"/>
  <c r="J9" i="40"/>
  <c r="H9" i="40"/>
  <c r="C46" i="15"/>
  <c r="Q63" i="15"/>
  <c r="Q67" i="15"/>
  <c r="Q76" i="15"/>
  <c r="B3" i="44"/>
  <c r="B5" i="44"/>
  <c r="B4" i="44"/>
  <c r="AA7" i="37"/>
  <c r="R42" i="37"/>
  <c r="S7" i="37"/>
  <c r="E43" i="35"/>
  <c r="F43" i="35"/>
  <c r="E42" i="35"/>
  <c r="F42" i="35"/>
  <c r="I43" i="35"/>
  <c r="J43" i="35"/>
  <c r="C39" i="35"/>
  <c r="B3" i="35"/>
  <c r="B2" i="35"/>
  <c r="C38" i="35"/>
  <c r="H7" i="37"/>
  <c r="J7" i="37"/>
  <c r="B3" i="15"/>
  <c r="D8" i="12"/>
  <c r="AC9" i="40"/>
  <c r="V44" i="40"/>
  <c r="I44" i="40"/>
  <c r="I48" i="40"/>
  <c r="J48" i="40"/>
  <c r="W9" i="40"/>
  <c r="AB9" i="40"/>
  <c r="T44" i="40"/>
  <c r="G44" i="40"/>
  <c r="U9" i="40"/>
  <c r="AA9" i="40"/>
  <c r="R44" i="40"/>
  <c r="S9" i="40"/>
  <c r="W7" i="37"/>
  <c r="AC7" i="37"/>
  <c r="V42" i="37"/>
  <c r="I42" i="37"/>
  <c r="AB7" i="37"/>
  <c r="T42" i="37"/>
  <c r="G42" i="37"/>
  <c r="U7" i="37"/>
  <c r="E42" i="37"/>
  <c r="R43" i="37"/>
  <c r="W9" i="39"/>
  <c r="U9" i="39"/>
  <c r="E44" i="40"/>
  <c r="R45" i="40"/>
  <c r="G48" i="40"/>
  <c r="H48" i="40"/>
  <c r="G49" i="40"/>
  <c r="H49" i="40"/>
  <c r="S9" i="39"/>
  <c r="C43" i="37"/>
  <c r="B3" i="37"/>
  <c r="B2" i="37"/>
  <c r="C42" i="37"/>
  <c r="I46" i="37"/>
  <c r="J46" i="37"/>
  <c r="I47" i="37"/>
  <c r="J47" i="37"/>
  <c r="E47" i="37"/>
  <c r="F47" i="37"/>
  <c r="E46" i="37"/>
  <c r="F46" i="37"/>
  <c r="G46" i="37"/>
  <c r="H46" i="37"/>
  <c r="G47" i="37"/>
  <c r="H47" i="37"/>
  <c r="B3" i="12"/>
  <c r="C45" i="40"/>
  <c r="C44" i="40"/>
  <c r="I49" i="40"/>
  <c r="J49" i="40"/>
  <c r="E48" i="40"/>
  <c r="F48" i="40"/>
  <c r="E49" i="40"/>
  <c r="F49" i="40"/>
  <c r="D20" i="9"/>
  <c r="B4" i="12"/>
  <c r="B5" i="12"/>
  <c r="L44" i="9"/>
  <c r="B61" i="40"/>
  <c r="F61" i="40"/>
  <c r="B58" i="40"/>
  <c r="F58" i="40"/>
  <c r="B59" i="40"/>
  <c r="F59" i="40"/>
  <c r="B54" i="40"/>
  <c r="F54" i="40"/>
  <c r="B55" i="40"/>
  <c r="F55" i="40"/>
  <c r="B62" i="40"/>
  <c r="F62" i="40"/>
  <c r="B56" i="40"/>
  <c r="F56" i="40"/>
  <c r="B60" i="40"/>
  <c r="F60" i="40"/>
  <c r="B53" i="40"/>
  <c r="F53" i="40"/>
  <c r="B57" i="40"/>
  <c r="F57" i="40"/>
  <c r="F63" i="40"/>
  <c r="B2" i="40"/>
  <c r="D21" i="9"/>
  <c r="B4" i="40"/>
  <c r="B5" i="40"/>
  <c r="B3" i="40"/>
  <c r="D77" i="9"/>
  <c r="N75" i="9"/>
  <c r="E15" i="66"/>
  <c r="F15" i="66"/>
  <c r="D14" i="66"/>
  <c r="B5" i="66"/>
  <c r="D5" i="66"/>
  <c r="C5" i="66"/>
  <c r="O80" i="9"/>
  <c r="O81" i="9"/>
  <c r="Q77" i="9"/>
  <c r="O78" i="9"/>
  <c r="C90" i="9"/>
  <c r="C96" i="9"/>
  <c r="C91" i="9"/>
  <c r="C97" i="9"/>
  <c r="C98" i="9"/>
  <c r="C99" i="9"/>
  <c r="E114" i="9"/>
  <c r="E115" i="9"/>
  <c r="E98" i="9"/>
  <c r="E99" i="9"/>
  <c r="C82" i="9"/>
  <c r="C81" i="9"/>
  <c r="C85" i="9"/>
  <c r="C86" i="9"/>
  <c r="D72" i="9"/>
  <c r="D70" i="9"/>
  <c r="E14" i="66"/>
  <c r="F14" i="66"/>
  <c r="C34" i="9"/>
  <c r="M38" i="9"/>
  <c r="K27" i="9"/>
  <c r="R5" i="54"/>
  <c r="B48" i="63"/>
  <c r="C33" i="9"/>
  <c r="N38" i="9"/>
  <c r="K28" i="9"/>
  <c r="O38" i="9"/>
  <c r="K26" i="9"/>
  <c r="K25" i="9"/>
  <c r="C35" i="9"/>
  <c r="F42" i="9"/>
  <c r="O43" i="9"/>
  <c r="D42" i="9"/>
  <c r="Q5" i="54"/>
  <c r="B47" i="63"/>
  <c r="E42" i="9"/>
  <c r="P5" i="54"/>
  <c r="B46" i="63"/>
  <c r="B4" i="39"/>
  <c r="C21" i="9"/>
  <c r="G21" i="9"/>
  <c r="N43" i="9"/>
  <c r="G22" i="9"/>
  <c r="B3" i="39"/>
  <c r="C20" i="9"/>
  <c r="G20" i="9"/>
  <c r="D22" i="9"/>
  <c r="L43" i="9"/>
  <c r="B5" i="39"/>
  <c r="C49" i="39"/>
  <c r="E49" i="39"/>
  <c r="G49" i="39"/>
  <c r="E54" i="39"/>
  <c r="F54" i="39"/>
  <c r="E53" i="39"/>
  <c r="F53" i="39"/>
  <c r="I49" i="39"/>
  <c r="I53" i="39"/>
  <c r="J53" i="39"/>
  <c r="G53" i="39"/>
  <c r="H53" i="39"/>
  <c r="G54" i="39"/>
  <c r="H54" i="39"/>
  <c r="I54" i="39"/>
  <c r="J54" i="39"/>
  <c r="U12" i="39"/>
  <c r="H12" i="40"/>
  <c r="U12" i="40"/>
  <c r="AB12" i="40"/>
  <c r="W12" i="39"/>
  <c r="J12" i="40"/>
  <c r="AC12" i="40"/>
  <c r="W12" i="40"/>
  <c r="S12" i="39"/>
  <c r="F12" i="40"/>
  <c r="S12" i="40"/>
  <c r="AA12" i="40"/>
  <c r="N68" i="9"/>
  <c r="P84" i="9"/>
  <c r="F10" i="68"/>
  <c r="F9"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<sst xmlns="http://schemas.openxmlformats.org/spreadsheetml/2006/main" count="7690" uniqueCount="3222">
  <si>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</si>
  <si>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</si>
  <si>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</si>
  <si>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</si>
  <si>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</si>
  <si>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</si>
  <si>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</si>
  <si>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</si>
  <si>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</si>
  <si>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</si>
  <si>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</si>
  <si>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</si>
  <si>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</si>
  <si>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</si>
  <si>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</si>
  <si>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</si>
  <si>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</si>
  <si>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</si>
  <si>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</si>
  <si>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</si>
  <si>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</si>
  <si>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</si>
  <si>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</si>
  <si>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</si>
  <si>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</si>
  <si>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</si>
  <si>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</si>
  <si>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</si>
  <si>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</si>
  <si>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</si>
  <si>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</si>
  <si>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</si>
  <si>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</si>
  <si>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</si>
  <si>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</si>
  <si>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</si>
  <si>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</si>
  <si>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</si>
  <si>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</si>
  <si>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</si>
  <si>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</si>
  <si>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</si>
  <si>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</si>
  <si>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</si>
  <si>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</si>
  <si>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</si>
  <si>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</si>
  <si>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</si>
  <si>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</si>
  <si>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</si>
  <si>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</si>
  <si>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</si>
  <si>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</si>
  <si>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</si>
  <si>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</si>
  <si>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</si>
  <si>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</si>
  <si>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</si>
  <si>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</si>
  <si>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</si>
  <si>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</si>
  <si>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</si>
  <si>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</si>
  <si>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</si>
  <si>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</si>
  <si>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</si>
  <si>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</si>
  <si>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</si>
  <si>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</si>
  <si>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</si>
  <si>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</si>
  <si>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</si>
  <si>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</si>
  <si>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</si>
  <si>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</si>
  <si>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</si>
  <si>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</si>
  <si>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</si>
  <si>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</si>
  <si>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</si>
  <si>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</si>
  <si>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</si>
  <si>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</si>
  <si>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</si>
  <si>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</si>
  <si>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</si>
  <si>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</si>
  <si>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</si>
  <si>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</si>
  <si>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</si>
  <si>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</si>
  <si>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</si>
  <si>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</si>
  <si>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</si>
  <si>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</si>
  <si>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</si>
  <si>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</si>
  <si>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</si>
  <si>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</si>
  <si>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</si>
  <si>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</si>
  <si>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</si>
  <si>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</si>
  <si>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</si>
  <si>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</si>
  <si>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</si>
  <si>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</si>
  <si>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</si>
  <si>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</si>
  <si>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</si>
  <si>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</si>
  <si>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</si>
  <si>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</si>
  <si>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</si>
  <si>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</si>
  <si>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</si>
  <si>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</si>
  <si>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</si>
  <si>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</si>
  <si>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</si>
  <si>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</si>
  <si>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</si>
  <si>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</si>
  <si>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</si>
  <si>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</si>
  <si>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</si>
  <si>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</si>
  <si>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</si>
  <si>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</si>
  <si>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</si>
  <si>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</si>
  <si>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</si>
  <si>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</si>
  <si>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</si>
  <si>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</si>
  <si>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</si>
  <si>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</si>
  <si>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</si>
  <si>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</si>
  <si>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</si>
  <si>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</si>
  <si>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</si>
  <si>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</si>
  <si>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</si>
  <si>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</si>
  <si>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</si>
  <si>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</si>
  <si>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</si>
  <si>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</si>
  <si>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</si>
  <si>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</si>
  <si>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</si>
  <si>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</si>
  <si>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</si>
  <si>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</si>
  <si>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</si>
  <si>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</si>
  <si>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</si>
  <si>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</si>
  <si>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</si>
  <si>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</si>
  <si>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</si>
  <si>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</si>
  <si>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</si>
  <si>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</si>
  <si>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</si>
  <si>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</si>
  <si>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</si>
  <si>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</si>
  <si>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</si>
  <si>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</si>
  <si>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</si>
  <si>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</si>
  <si>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</si>
  <si>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</si>
  <si>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</si>
  <si>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</si>
  <si>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</si>
  <si>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</si>
  <si>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</si>
  <si>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</si>
  <si>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</si>
  <si>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</si>
  <si>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</si>
  <si>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</si>
  <si>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</si>
  <si>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</si>
  <si>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</si>
  <si>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</si>
  <si>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</si>
  <si>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</si>
  <si>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</si>
  <si>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</si>
  <si>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</si>
  <si>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</si>
  <si>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</si>
  <si>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</si>
  <si>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</si>
  <si>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</si>
  <si>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</si>
  <si>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</si>
  <si>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</si>
  <si>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</si>
  <si>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</si>
  <si>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</si>
  <si>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</si>
  <si>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</si>
  <si>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</si>
  <si>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</si>
  <si>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</si>
  <si>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</si>
  <si>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</si>
  <si>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</si>
  <si>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</si>
  <si>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</si>
  <si>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</si>
  <si>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</si>
  <si>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</si>
  <si>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</si>
  <si>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</si>
  <si>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</si>
  <si>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</si>
  <si>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</si>
  <si>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</si>
  <si>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</si>
  <si>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</si>
  <si>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</si>
  <si>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</si>
  <si>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</si>
  <si>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</si>
  <si>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</si>
  <si>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</si>
  <si>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</si>
  <si>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</si>
  <si>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</si>
  <si>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</si>
  <si>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</si>
  <si>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</si>
  <si>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</si>
  <si>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</si>
  <si>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</si>
  <si>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</si>
  <si>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</si>
  <si>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</si>
  <si>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</si>
  <si>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</si>
  <si>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</si>
  <si>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</si>
  <si>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</si>
  <si>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</si>
  <si>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</si>
  <si>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</si>
  <si>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</si>
  <si>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</si>
  <si>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</si>
  <si>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</si>
  <si>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</si>
  <si>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</si>
  <si>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</si>
  <si>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</si>
  <si>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</si>
  <si>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</si>
  <si>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</si>
  <si>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</si>
  <si>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</si>
  <si>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</si>
  <si>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</si>
  <si>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</si>
  <si>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</si>
  <si>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</si>
  <si>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</si>
  <si>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</si>
  <si>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</si>
  <si>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</si>
  <si>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</si>
  <si>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</si>
  <si>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</si>
  <si>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</si>
  <si>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</si>
  <si>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</si>
  <si>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</si>
  <si>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</si>
  <si>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</si>
  <si>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</si>
  <si>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</si>
  <si>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</si>
  <si>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</si>
  <si>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</si>
  <si>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</si>
  <si>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</si>
  <si>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</si>
  <si>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</si>
  <si>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</si>
  <si>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</si>
  <si>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</si>
  <si>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</si>
  <si>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</si>
  <si>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</si>
  <si>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</si>
  <si>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</si>
  <si>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</si>
  <si>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</si>
  <si>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</si>
  <si>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</si>
  <si>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</si>
  <si>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</si>
  <si>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</si>
  <si>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</si>
  <si>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</si>
  <si>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</si>
  <si>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</si>
  <si>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</si>
  <si>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</si>
  <si>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</si>
  <si>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</si>
  <si>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</si>
  <si>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</si>
  <si>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</si>
  <si>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</si>
  <si>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</si>
  <si>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</si>
  <si>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</si>
  <si>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</si>
  <si>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</si>
  <si>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</si>
  <si>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</si>
  <si>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</si>
  <si>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</si>
  <si>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</si>
  <si>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</si>
  <si>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</si>
  <si>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</si>
  <si>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</si>
  <si>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</si>
  <si>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</si>
  <si>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</si>
  <si>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</si>
  <si>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</si>
  <si>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</si>
  <si>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</si>
  <si>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</si>
  <si>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</si>
  <si>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</si>
  <si>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</si>
  <si>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</si>
  <si>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</si>
  <si>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</si>
  <si>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</si>
  <si>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</si>
  <si>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</si>
  <si>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</si>
  <si>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</si>
  <si>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</si>
  <si>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</si>
  <si>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</si>
  <si>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</si>
  <si>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</si>
  <si>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</si>
  <si>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</si>
  <si>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</si>
  <si>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</si>
  <si>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</si>
  <si>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</si>
  <si>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</si>
  <si>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</si>
  <si>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</si>
  <si>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</si>
  <si>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</si>
  <si>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</si>
  <si>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</si>
  <si>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</si>
  <si>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</si>
  <si>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</si>
  <si>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</si>
  <si>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</si>
  <si>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</si>
  <si>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</si>
  <si>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</si>
  <si>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</si>
  <si>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</si>
  <si>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</si>
  <si>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</si>
  <si>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</si>
  <si>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</si>
  <si>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</si>
  <si>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</si>
  <si>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</si>
  <si>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</si>
  <si>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</si>
  <si>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</si>
  <si>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</si>
  <si>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</si>
  <si>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</si>
  <si>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</si>
  <si>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</si>
  <si>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</si>
  <si>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</si>
  <si>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</si>
  <si>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</si>
  <si>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</si>
  <si>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</si>
  <si>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</si>
  <si>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</si>
  <si>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</si>
  <si>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</si>
  <si>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</si>
  <si>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</si>
  <si>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</si>
  <si>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</si>
  <si>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</si>
  <si>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</si>
  <si>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</si>
  <si>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</si>
  <si>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</si>
  <si>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</si>
  <si>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</si>
  <si>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</si>
  <si>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</si>
  <si>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</si>
  <si>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</si>
  <si>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</si>
  <si>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</si>
  <si>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</si>
  <si>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</si>
  <si>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</si>
  <si>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</si>
  <si>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</si>
  <si>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</si>
  <si>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</si>
  <si>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</si>
  <si>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</si>
  <si>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</si>
  <si>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</si>
  <si>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</si>
  <si>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</si>
  <si>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</si>
  <si>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</si>
  <si>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</si>
  <si>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</si>
  <si>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</si>
  <si>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</si>
  <si>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</si>
  <si>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</si>
  <si>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</si>
  <si>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</si>
  <si>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</si>
  <si>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</si>
  <si>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</si>
  <si>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</si>
  <si>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</si>
  <si>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</si>
  <si>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</si>
  <si>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</si>
  <si>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</si>
  <si>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</si>
  <si>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</si>
  <si>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</si>
  <si>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</si>
  <si>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</si>
  <si>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</si>
  <si>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</si>
  <si>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</si>
  <si>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</si>
  <si>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</si>
  <si>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</si>
  <si>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</si>
  <si>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</si>
  <si>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</si>
  <si>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</si>
  <si>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</si>
  <si>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</si>
  <si>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</si>
  <si>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</si>
  <si>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</si>
  <si>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</si>
  <si>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</si>
  <si>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</si>
  <si>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</si>
  <si>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</si>
  <si>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</si>
  <si>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</si>
  <si>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</si>
  <si>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</si>
  <si>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</si>
  <si>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</si>
  <si>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</si>
  <si>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</si>
  <si>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</si>
  <si>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</si>
  <si>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</si>
  <si>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</si>
  <si>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</si>
  <si>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</si>
  <si>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</si>
  <si>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</si>
  <si>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</si>
  <si>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</si>
  <si>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</si>
  <si>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</si>
  <si>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</si>
  <si>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</si>
  <si>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</si>
  <si>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</si>
  <si>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</si>
  <si>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</si>
  <si>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</si>
  <si>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</si>
  <si>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</si>
  <si>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</si>
  <si>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</si>
  <si>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</si>
  <si>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</si>
  <si>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</si>
  <si>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</si>
  <si>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</si>
  <si>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</si>
  <si>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</si>
  <si>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</si>
  <si>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</si>
  <si>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</si>
  <si>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</si>
  <si>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</si>
  <si>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</si>
  <si>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</si>
  <si>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</si>
  <si>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</si>
  <si>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</si>
  <si>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</si>
  <si>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</si>
  <si>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</si>
  <si>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</si>
  <si>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</si>
  <si>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</si>
  <si>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</si>
  <si>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</si>
  <si>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</si>
  <si>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</si>
  <si>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</si>
  <si>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</si>
  <si>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</si>
  <si>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</si>
  <si>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</si>
  <si>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</si>
  <si>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</si>
  <si>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</si>
  <si>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</si>
  <si>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</si>
  <si>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</si>
  <si>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</si>
  <si>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</si>
  <si>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</si>
  <si>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</si>
  <si>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</si>
  <si>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</si>
  <si>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</si>
  <si>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</si>
  <si>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</si>
  <si>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</si>
  <si>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</si>
  <si>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</si>
  <si>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</si>
  <si>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</si>
  <si>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</si>
  <si>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</si>
  <si>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</si>
  <si>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</si>
  <si>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</si>
  <si>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</si>
  <si>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</si>
  <si>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</si>
  <si>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</si>
  <si>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</si>
  <si>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</si>
  <si>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</si>
  <si>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</si>
  <si>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</si>
  <si>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</si>
  <si>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</si>
  <si>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</si>
  <si>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</si>
  <si>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</si>
  <si>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</si>
  <si>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</si>
  <si>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</si>
  <si>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</si>
  <si>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</si>
  <si>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</si>
  <si>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</si>
  <si>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</si>
  <si>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</si>
  <si>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</si>
  <si>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</si>
  <si>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</si>
  <si>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</si>
  <si>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</si>
  <si>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</si>
  <si>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</si>
  <si>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</si>
  <si>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</si>
  <si>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</si>
  <si>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</si>
  <si>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</si>
  <si>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</si>
  <si>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</si>
  <si>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</si>
  <si>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</si>
  <si>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</si>
  <si>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</si>
  <si>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</si>
  <si>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</si>
  <si>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</si>
  <si>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</si>
  <si>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</si>
  <si>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</si>
  <si>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</si>
  <si>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</si>
  <si>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</si>
  <si>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</si>
  <si>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</si>
  <si>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</si>
  <si>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</si>
  <si>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</si>
  <si>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</si>
  <si>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</si>
  <si>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</si>
  <si>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</si>
  <si>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</si>
  <si>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</si>
  <si>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</si>
  <si>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</si>
  <si>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</si>
  <si>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</si>
  <si>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</si>
  <si>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</si>
  <si>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</si>
  <si>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</si>
  <si>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</si>
  <si>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</si>
  <si>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</si>
  <si>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</si>
  <si>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</si>
  <si>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</si>
  <si>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</si>
  <si>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</si>
  <si>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</si>
  <si>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</si>
  <si>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</si>
  <si>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</si>
  <si>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</si>
  <si>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</si>
  <si>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</si>
  <si>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</si>
  <si>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</si>
  <si>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</si>
  <si>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</si>
  <si>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</si>
  <si>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</si>
  <si>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</si>
  <si>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</si>
  <si>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</si>
  <si>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</si>
  <si>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</si>
  <si>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</si>
  <si>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</si>
  <si>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</si>
  <si>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</si>
  <si>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</si>
  <si>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</si>
  <si>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</si>
  <si>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</si>
  <si>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</si>
  <si>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</si>
  <si>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</si>
  <si>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</si>
  <si>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</si>
  <si>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</si>
  <si>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</si>
  <si>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</si>
  <si>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</si>
  <si>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</si>
  <si>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</si>
  <si>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</si>
  <si>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</si>
  <si>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</si>
  <si>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</si>
  <si>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</si>
  <si>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</si>
  <si>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</si>
  <si>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</si>
  <si>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</si>
  <si>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</si>
  <si>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</si>
  <si>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</si>
  <si>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</si>
  <si>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</si>
  <si>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</si>
  <si>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</si>
  <si>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</si>
  <si>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</si>
  <si>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</si>
  <si>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</si>
  <si>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</si>
  <si>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</si>
  <si>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</si>
  <si>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</si>
  <si>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</si>
  <si>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</si>
  <si>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</si>
  <si>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</si>
  <si>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</si>
  <si>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</si>
  <si>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</si>
  <si>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</si>
  <si>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</si>
  <si>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</si>
  <si>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</si>
  <si>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</si>
  <si>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</si>
  <si>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</si>
  <si>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</si>
  <si>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</si>
  <si>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</si>
  <si>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</si>
  <si>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</si>
  <si>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</si>
  <si>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</si>
  <si>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</si>
  <si>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</si>
  <si>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</si>
  <si>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</si>
  <si>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</si>
  <si>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</si>
  <si>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</si>
  <si>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</si>
  <si>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</si>
  <si>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</si>
  <si>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</si>
  <si>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</si>
  <si>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</si>
  <si>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</si>
  <si>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</si>
  <si>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</si>
  <si>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</si>
  <si>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</si>
  <si>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</si>
  <si>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</si>
  <si>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</si>
  <si>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</si>
  <si>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</si>
  <si>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</si>
  <si>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</si>
  <si>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</si>
  <si>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</si>
  <si>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</si>
  <si>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</si>
  <si>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</si>
  <si>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</si>
  <si>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</si>
  <si>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</si>
  <si>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</si>
  <si>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</si>
  <si>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</si>
  <si>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</si>
  <si>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</si>
  <si>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</si>
  <si>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</si>
  <si>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</si>
  <si>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</si>
  <si>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</si>
  <si>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</si>
  <si>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</si>
  <si>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</si>
  <si>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</si>
  <si>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</si>
  <si>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</si>
  <si>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</si>
  <si>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</si>
  <si>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</si>
  <si>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</si>
  <si>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</si>
  <si>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</si>
  <si>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</si>
  <si>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</si>
  <si>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</si>
  <si>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</si>
  <si>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</si>
  <si>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</si>
  <si>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</si>
  <si>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</si>
  <si>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</si>
  <si>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</si>
  <si>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</si>
  <si>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</si>
  <si>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</si>
  <si>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</si>
  <si>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</si>
  <si>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</si>
  <si>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</si>
  <si>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</si>
  <si>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</si>
  <si>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</si>
  <si>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</si>
  <si>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</si>
  <si>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</si>
  <si>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</si>
  <si>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</si>
  <si>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</si>
  <si>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</si>
  <si>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</si>
  <si>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</si>
  <si>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</si>
  <si>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</si>
  <si>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</si>
  <si>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</si>
  <si>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</si>
  <si>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</si>
  <si>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</si>
  <si>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</si>
  <si>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</si>
  <si>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</si>
  <si>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</si>
  <si>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</si>
  <si>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</si>
  <si>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</si>
  <si>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</si>
  <si>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</si>
  <si>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</si>
  <si>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</si>
  <si>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</si>
  <si>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</si>
  <si>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</si>
  <si>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</si>
  <si>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</si>
  <si>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</si>
  <si>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</si>
  <si>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</si>
  <si>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</si>
  <si>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</si>
  <si>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</si>
  <si>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</si>
  <si>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</si>
  <si>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</si>
  <si>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</si>
  <si>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</si>
  <si>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</si>
  <si>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</si>
  <si>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</si>
  <si>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</si>
  <si>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</si>
  <si>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</si>
  <si>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</si>
  <si>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</si>
  <si>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</si>
  <si>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</si>
  <si>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</si>
  <si>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</si>
  <si>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</si>
  <si>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</si>
  <si>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</si>
  <si>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</si>
  <si>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</si>
  <si>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</si>
  <si>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</si>
  <si>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</si>
  <si>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</si>
  <si>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</si>
  <si>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</si>
  <si>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</si>
  <si>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</si>
  <si>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</si>
  <si>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</si>
  <si>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</si>
  <si>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</si>
  <si>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</si>
  <si>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</si>
  <si>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</si>
  <si>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</si>
  <si>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</si>
  <si>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</si>
  <si>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</si>
  <si>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</si>
  <si>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</si>
  <si>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</si>
  <si>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</si>
  <si>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</si>
  <si>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</si>
  <si>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</si>
  <si>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</si>
  <si>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</si>
  <si>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</si>
  <si>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</si>
  <si>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</si>
  <si>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</si>
  <si>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</si>
  <si>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</si>
  <si>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</si>
  <si>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</si>
  <si>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</si>
  <si>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</si>
  <si>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</si>
  <si>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</si>
  <si>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</si>
  <si>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</si>
  <si>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</si>
  <si>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</si>
  <si>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</si>
  <si>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</si>
  <si>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</si>
  <si>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</si>
  <si>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</si>
  <si>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</si>
  <si>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</si>
  <si>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</si>
  <si>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</si>
  <si>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</si>
  <si>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</si>
  <si>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</si>
  <si>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</si>
  <si>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</si>
  <si>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</si>
  <si>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</si>
  <si>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</si>
  <si>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</si>
  <si>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</si>
  <si>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</si>
  <si>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</si>
  <si>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</si>
  <si>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</si>
  <si>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</si>
  <si>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</si>
  <si>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</si>
  <si>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</si>
  <si>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</si>
  <si>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</si>
  <si>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</si>
  <si>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</si>
  <si>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</si>
  <si>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</si>
  <si>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</si>
  <si>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</si>
  <si>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</si>
  <si>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</si>
  <si>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</si>
  <si>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</si>
  <si>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</si>
  <si>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</si>
  <si>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</si>
  <si>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</si>
  <si>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</si>
  <si>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</si>
  <si>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</si>
  <si>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</si>
  <si>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</si>
  <si>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</si>
  <si>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</si>
  <si>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</si>
  <si>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</si>
  <si>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</si>
  <si>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</si>
  <si>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</si>
  <si>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</si>
  <si>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</si>
  <si>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</si>
  <si>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</si>
  <si>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</si>
  <si>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</si>
  <si>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</si>
  <si>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</si>
  <si>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</si>
  <si>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</si>
  <si>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</si>
  <si>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</si>
  <si>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</si>
  <si>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</si>
  <si>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</si>
  <si>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</si>
  <si>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</si>
  <si>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</si>
  <si>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</si>
  <si>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</si>
  <si>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</si>
  <si>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</si>
  <si>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</si>
  <si>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</si>
  <si>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</si>
  <si>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</si>
  <si>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</si>
  <si>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</si>
  <si>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</si>
  <si>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</si>
  <si>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</si>
  <si>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</si>
  <si>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</si>
  <si>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</si>
  <si>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</si>
  <si>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</si>
  <si>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</si>
  <si>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</si>
  <si>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</si>
  <si>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</si>
  <si>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</si>
  <si>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</si>
  <si>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</si>
  <si>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</si>
  <si>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</si>
  <si>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</si>
  <si>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</si>
  <si>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</si>
  <si>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</si>
  <si>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</si>
  <si>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</si>
  <si>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</si>
  <si>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</si>
  <si>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</si>
  <si>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</si>
  <si>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</si>
  <si>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</si>
  <si>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</si>
  <si>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</si>
  <si>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</si>
  <si>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</si>
  <si>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</si>
  <si>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</si>
  <si>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</si>
  <si>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</si>
  <si>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</si>
  <si>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</si>
  <si>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</si>
  <si>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</si>
  <si>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</si>
  <si>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</si>
  <si>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</si>
  <si>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</si>
  <si>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</si>
  <si>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</si>
  <si>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</si>
  <si>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</si>
  <si>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</si>
  <si>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</si>
  <si>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</si>
  <si>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</si>
  <si>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</si>
  <si>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</si>
  <si>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</si>
  <si>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</si>
  <si>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</si>
  <si>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</si>
  <si>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</si>
  <si>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</si>
  <si>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</si>
  <si>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</si>
  <si>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</si>
  <si>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</si>
  <si>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</si>
  <si>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</si>
  <si>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</si>
  <si>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</si>
  <si>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</si>
  <si>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</si>
  <si>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</si>
  <si>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</si>
  <si>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</si>
  <si>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</si>
  <si>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</si>
  <si>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</si>
  <si>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</si>
  <si>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</si>
  <si>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</si>
  <si>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</si>
  <si>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</si>
  <si>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</si>
  <si>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</si>
  <si>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</si>
  <si>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</si>
  <si>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</si>
  <si>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</si>
  <si>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</si>
  <si>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</si>
  <si>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</si>
  <si>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</si>
  <si>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</si>
  <si>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</si>
  <si>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</si>
  <si>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</si>
  <si>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</si>
  <si>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</si>
  <si>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</si>
  <si>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</si>
  <si>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</si>
  <si>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</si>
  <si>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</si>
  <si>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</si>
  <si>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</si>
  <si>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</si>
  <si>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</si>
  <si>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</si>
  <si>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</si>
  <si>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</si>
  <si>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</si>
  <si>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</si>
  <si>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</si>
  <si>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</si>
  <si>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</si>
  <si>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</si>
  <si>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</si>
  <si>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</si>
  <si>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</si>
  <si>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</si>
  <si>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</si>
  <si>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</si>
  <si>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</si>
  <si>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</si>
  <si>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</si>
  <si>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</si>
  <si>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</si>
  <si>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</si>
  <si>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</si>
  <si>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</si>
  <si>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</si>
  <si>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</si>
  <si>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</si>
  <si>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</si>
  <si>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</si>
  <si>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</si>
  <si>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</si>
  <si>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</si>
  <si>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</si>
  <si>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</si>
  <si>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</si>
  <si>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</si>
  <si>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</si>
  <si>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</si>
  <si>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</si>
  <si>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</si>
  <si>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</si>
  <si>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</si>
  <si>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</si>
  <si>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</si>
  <si>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</si>
  <si>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</si>
  <si>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</si>
  <si>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</si>
  <si>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</si>
  <si>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</si>
  <si>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</si>
  <si>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</si>
  <si>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</si>
  <si>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</si>
  <si>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</si>
  <si>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</si>
  <si>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</si>
  <si>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</si>
  <si>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</si>
  <si>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</si>
  <si>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</si>
  <si>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</si>
  <si>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</si>
  <si>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</si>
  <si>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</si>
  <si>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</si>
  <si>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</si>
  <si>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</si>
  <si>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</si>
  <si>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</si>
  <si>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</si>
  <si>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</si>
  <si>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</si>
  <si>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</si>
  <si>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</si>
  <si>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</si>
  <si>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</si>
  <si>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</si>
  <si>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</si>
  <si>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</si>
  <si>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</si>
  <si>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</si>
  <si>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</si>
  <si>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</si>
  <si>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</si>
  <si>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</si>
  <si>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</si>
  <si>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</si>
  <si>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</si>
  <si>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</si>
  <si>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</si>
  <si>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</si>
  <si>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</si>
  <si>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</si>
  <si>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</si>
  <si>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</si>
  <si>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</si>
  <si>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</si>
  <si>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</si>
  <si>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</si>
  <si>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</si>
  <si>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</si>
  <si>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</si>
  <si>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</si>
  <si>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</si>
  <si>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</si>
  <si>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</si>
  <si>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</si>
  <si>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</si>
  <si>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</si>
  <si>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</si>
  <si>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</si>
  <si>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</si>
  <si>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</si>
  <si>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</si>
  <si>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</si>
  <si>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</si>
  <si>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</si>
  <si>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</si>
  <si>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</si>
  <si>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</si>
  <si>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</si>
  <si>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</si>
  <si>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</si>
  <si>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</si>
  <si>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</si>
  <si>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</si>
  <si>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</si>
  <si>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</si>
  <si>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</si>
  <si>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</si>
  <si>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</si>
  <si>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</si>
  <si>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</si>
  <si>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</si>
  <si>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</si>
  <si>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</si>
  <si>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</si>
  <si>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</si>
  <si>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</si>
  <si>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</si>
  <si>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</si>
  <si>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</si>
  <si>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</si>
  <si>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</si>
  <si>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</si>
  <si>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</si>
  <si>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</si>
  <si>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</si>
  <si>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</si>
  <si>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</si>
  <si>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</si>
  <si>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</si>
  <si>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</si>
  <si>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</si>
  <si>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</si>
  <si>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</si>
  <si>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</si>
  <si>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</si>
  <si>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</si>
  <si>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</si>
  <si>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</si>
  <si>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</si>
  <si>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</si>
  <si>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</si>
  <si>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</si>
  <si>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</si>
  <si>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</si>
  <si>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</si>
  <si>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</si>
  <si>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</si>
  <si>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</si>
  <si>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</si>
  <si>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</si>
  <si>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</si>
  <si>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</si>
  <si>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</si>
  <si>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</si>
  <si>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</si>
  <si>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</si>
  <si>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</si>
  <si>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</si>
  <si>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</si>
  <si>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</si>
  <si>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</si>
  <si>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</si>
  <si>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</si>
  <si>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</si>
  <si>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</si>
  <si>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</si>
  <si>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</si>
  <si>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</si>
  <si>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</si>
  <si>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</si>
  <si>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</si>
  <si>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</si>
  <si>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</si>
  <si>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</si>
  <si>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</si>
  <si>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</si>
  <si>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</si>
  <si>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</si>
  <si>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</si>
  <si>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</si>
  <si>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</si>
  <si>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</si>
  <si>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</si>
  <si>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</si>
  <si>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</si>
  <si>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</si>
  <si>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</si>
  <si>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</si>
  <si>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</si>
  <si>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</si>
  <si>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</si>
  <si>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</si>
  <si>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</si>
  <si>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</si>
  <si>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</si>
  <si>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</si>
  <si>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</si>
  <si>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</si>
  <si>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</si>
  <si>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</si>
  <si>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</si>
  <si>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</si>
  <si>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</si>
  <si>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</si>
  <si>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</si>
  <si>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</si>
  <si>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</si>
  <si>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</si>
  <si>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</si>
  <si>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</si>
  <si>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</si>
  <si>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</si>
  <si>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</si>
  <si>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</si>
  <si>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</si>
  <si>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</si>
  <si>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</si>
  <si>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</si>
  <si>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</si>
  <si>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</si>
  <si>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</si>
  <si>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</si>
  <si>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</si>
  <si>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</si>
  <si>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</si>
  <si>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</si>
  <si>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</si>
  <si>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</si>
  <si>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</si>
  <si>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</si>
  <si>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</si>
  <si>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</si>
  <si>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</si>
  <si>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</si>
  <si>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</si>
  <si>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</si>
  <si>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</si>
  <si>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</si>
  <si>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</si>
  <si>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</si>
  <si>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</si>
  <si>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</si>
  <si>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</si>
  <si>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</si>
  <si>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</si>
  <si>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</si>
  <si>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</si>
  <si>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</si>
  <si>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</si>
  <si>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</si>
  <si>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</si>
  <si>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</si>
  <si>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</si>
  <si>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</si>
  <si>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</si>
  <si>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</si>
  <si>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</si>
  <si>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</si>
  <si>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</si>
  <si>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</si>
  <si>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</si>
  <si>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</si>
  <si>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</si>
  <si>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</si>
  <si>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</si>
  <si>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</si>
  <si>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</si>
  <si>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</si>
  <si>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</si>
  <si>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</si>
  <si>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</si>
  <si>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</si>
  <si>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</si>
  <si>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</si>
  <si>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</si>
  <si>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</si>
  <si>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</si>
  <si>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</si>
  <si>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</si>
  <si>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</si>
  <si>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</si>
  <si>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</si>
  <si>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</si>
  <si>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</si>
  <si>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</si>
  <si>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</si>
  <si>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</si>
  <si>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</si>
  <si>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</si>
  <si>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</si>
  <si>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</si>
  <si>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</si>
  <si>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</si>
  <si>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</si>
  <si>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</si>
  <si>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</si>
  <si>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</si>
  <si>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</si>
  <si>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</si>
  <si>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</si>
  <si>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</si>
  <si>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</si>
  <si>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</si>
  <si>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</si>
  <si>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</si>
  <si>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</si>
  <si>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</si>
  <si>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</si>
  <si>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</si>
  <si>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</si>
  <si>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</si>
  <si>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</si>
  <si>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</si>
  <si>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</si>
  <si>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</si>
  <si>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</si>
  <si>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</si>
  <si>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</si>
  <si>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</si>
  <si>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</si>
  <si>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</si>
  <si>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</si>
  <si>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</si>
  <si>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</si>
  <si>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</si>
  <si>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</si>
  <si>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</si>
  <si>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</si>
  <si>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</si>
  <si>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</si>
  <si>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</si>
  <si>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</si>
  <si>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</si>
  <si>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</si>
  <si>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</si>
  <si>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</si>
  <si>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</si>
  <si>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</si>
  <si>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</si>
  <si>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</si>
  <si>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</si>
  <si>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</si>
  <si>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</si>
  <si>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</si>
  <si>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</si>
  <si>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</si>
  <si>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</si>
  <si>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</si>
  <si>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</si>
  <si>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</si>
  <si>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</si>
  <si>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</si>
  <si>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</si>
  <si>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</si>
  <si>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</si>
  <si>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</si>
  <si>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</si>
  <si>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</si>
  <si>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</si>
  <si>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</si>
  <si>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</si>
  <si>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</si>
  <si>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</si>
  <si>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</si>
  <si>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</si>
  <si>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</si>
  <si>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</si>
  <si>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</si>
  <si>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</si>
  <si>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</si>
  <si>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</si>
  <si>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</si>
  <si>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</si>
  <si>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</si>
  <si>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</si>
  <si>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</si>
  <si>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</si>
  <si>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</si>
  <si>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</si>
  <si>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</si>
  <si>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</si>
  <si>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</si>
  <si>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</si>
  <si>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</si>
  <si>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</si>
  <si>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</si>
  <si>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</si>
  <si>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</si>
  <si>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</si>
  <si>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</si>
  <si>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</si>
  <si>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</si>
  <si>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</si>
  <si>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</si>
  <si>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</si>
  <si>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</si>
  <si>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</si>
  <si>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</si>
  <si>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</si>
  <si>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</si>
  <si>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</si>
  <si>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</si>
  <si>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</si>
  <si>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</si>
  <si>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</si>
  <si>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</si>
  <si>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</si>
  <si>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</si>
  <si>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</si>
  <si>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</si>
  <si>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</si>
  <si>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</si>
  <si>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</si>
  <si>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</si>
  <si>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</si>
  <si>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</si>
  <si>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</si>
  <si>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</si>
  <si>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</si>
  <si>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</si>
  <si>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</si>
  <si>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</si>
  <si>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</si>
  <si>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</si>
  <si>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</si>
  <si>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</si>
  <si>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</si>
  <si>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</si>
  <si>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</si>
  <si>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</si>
  <si>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</si>
  <si>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</si>
  <si>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</si>
  <si>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</si>
  <si>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</si>
  <si>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</si>
  <si>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</si>
  <si>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</si>
  <si>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</si>
  <si>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</si>
  <si>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</si>
  <si>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</si>
  <si>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</si>
  <si>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</si>
  <si>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</si>
  <si>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</si>
  <si>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</si>
  <si>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</si>
  <si>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</si>
  <si>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</si>
  <si>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</si>
  <si>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</si>
  <si>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</si>
  <si>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</si>
  <si>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</si>
  <si>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</si>
  <si>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</si>
  <si>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</si>
  <si>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</si>
  <si>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</si>
  <si>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</si>
  <si>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</si>
  <si>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</si>
  <si>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</si>
  <si>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</si>
  <si>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</si>
  <si>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</si>
  <si>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</si>
  <si>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</si>
  <si>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</si>
  <si>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</si>
  <si>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</si>
  <si>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</si>
  <si>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</si>
  <si>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</si>
  <si>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</si>
  <si>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</si>
  <si>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</si>
  <si>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</si>
  <si>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</si>
  <si>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</si>
  <si>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</si>
  <si>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</si>
  <si>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</si>
  <si>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</si>
  <si>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</si>
  <si>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</si>
  <si>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</si>
  <si>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</si>
  <si>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</si>
  <si>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</si>
  <si>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</si>
  <si>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</si>
  <si>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</si>
  <si>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</si>
  <si>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</si>
  <si>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</si>
  <si>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</si>
  <si>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</si>
  <si>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</si>
  <si>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</si>
  <si>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</si>
  <si>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</si>
  <si>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</si>
  <si>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</si>
  <si>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</si>
  <si>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</si>
  <si>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</si>
  <si>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</si>
  <si>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</si>
  <si>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</si>
  <si>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</si>
  <si>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</si>
  <si>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</si>
  <si>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</si>
  <si>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</si>
  <si>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</si>
  <si>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</si>
  <si>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</si>
  <si>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</si>
  <si>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</si>
  <si>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</si>
  <si>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</si>
  <si>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</si>
  <si>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</si>
  <si>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</si>
  <si>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</si>
  <si>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</si>
  <si>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</si>
  <si>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</si>
  <si>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</si>
  <si>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</si>
  <si>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</si>
  <si>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</si>
  <si>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</si>
  <si>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</si>
  <si>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</si>
  <si>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</si>
  <si>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</si>
  <si>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</si>
  <si>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</si>
  <si>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</si>
  <si>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</si>
  <si>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</si>
  <si>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</si>
  <si>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</si>
  <si>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</si>
  <si>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</si>
  <si>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</si>
  <si>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</si>
  <si>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</si>
  <si>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</si>
  <si>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</si>
  <si>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</si>
  <si>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</si>
  <si>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</si>
  <si>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</si>
  <si>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</si>
  <si>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</si>
  <si>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</si>
  <si>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</si>
  <si>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</si>
  <si>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</si>
  <si>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</si>
  <si>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</si>
  <si>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</si>
  <si>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</si>
  <si>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</si>
  <si>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</si>
  <si>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</si>
  <si>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</si>
  <si>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</si>
  <si>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</si>
  <si>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</si>
  <si>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</si>
  <si>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</si>
  <si>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</si>
  <si>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</si>
  <si>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</si>
  <si>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</si>
  <si>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</si>
  <si>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</si>
  <si>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</si>
  <si>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</si>
  <si>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</si>
  <si>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</si>
  <si>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</si>
  <si>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</si>
  <si>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</si>
  <si>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</si>
  <si>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</si>
  <si>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</si>
  <si>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</si>
  <si>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</si>
  <si>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</si>
  <si>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</si>
  <si>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</si>
  <si>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</si>
  <si>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</si>
  <si>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</si>
  <si>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</si>
  <si>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</si>
  <si>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</si>
  <si>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</si>
  <si>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</si>
  <si>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</si>
  <si>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</si>
  <si>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</si>
  <si>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</si>
  <si>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</si>
  <si>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</si>
  <si>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</si>
  <si>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</si>
  <si>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</si>
  <si>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</si>
  <si>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</si>
  <si>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</si>
  <si>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</si>
  <si>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</si>
  <si>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</si>
  <si>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</si>
  <si>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</si>
  <si>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</si>
  <si>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</si>
  <si>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</si>
  <si>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</si>
  <si>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</si>
  <si>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</si>
  <si>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</si>
  <si>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</si>
  <si>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</si>
  <si>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</si>
  <si>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</si>
  <si>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</si>
  <si>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</si>
  <si>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</si>
  <si>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</si>
  <si>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</si>
  <si>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</si>
  <si>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</si>
  <si>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</si>
  <si>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</si>
  <si>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</si>
  <si>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</si>
  <si>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</si>
  <si>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</si>
  <si>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</si>
  <si>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</si>
  <si>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</si>
  <si>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</si>
  <si>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</si>
  <si>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</si>
  <si>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</si>
  <si>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</si>
  <si>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</si>
  <si>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</si>
  <si>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</si>
  <si>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</si>
  <si>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</si>
  <si>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</si>
  <si>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</si>
  <si>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</si>
  <si>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</si>
  <si>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</si>
  <si>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</si>
  <si>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</si>
  <si>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</si>
  <si>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</si>
  <si>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</si>
  <si>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</si>
  <si>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</si>
  <si>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</si>
  <si>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</si>
  <si>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</si>
  <si>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</si>
  <si>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</si>
  <si>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</si>
  <si>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</si>
  <si>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</si>
  <si>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</si>
  <si>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</si>
  <si>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</si>
  <si>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</si>
  <si>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</si>
  <si>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</si>
  <si>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</si>
  <si>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</si>
  <si>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</si>
  <si>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</si>
  <si>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</si>
  <si>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</si>
  <si>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</si>
  <si>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</si>
  <si>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</si>
  <si>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</si>
  <si>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</si>
  <si>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</si>
  <si>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</si>
  <si>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</si>
  <si>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</si>
  <si>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</si>
  <si>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</si>
  <si>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</si>
  <si>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</si>
  <si>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</si>
  <si>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</si>
  <si>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</si>
  <si>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</si>
  <si>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</si>
  <si>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</si>
  <si>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</si>
  <si>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</si>
  <si>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</si>
  <si>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</si>
  <si>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</si>
  <si>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</si>
  <si>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</si>
  <si>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</si>
  <si>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</si>
  <si>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</si>
  <si>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</si>
  <si>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</si>
  <si>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</si>
  <si>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</si>
  <si>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</si>
  <si>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</si>
  <si>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</si>
  <si>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</si>
  <si>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</si>
  <si>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</si>
  <si>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</si>
  <si>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</si>
  <si>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</si>
  <si>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</si>
  <si>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</si>
  <si>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</si>
  <si>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</si>
  <si>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</si>
  <si>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</si>
  <si>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</si>
  <si>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</si>
  <si>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</si>
  <si>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</si>
  <si>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</si>
  <si>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</si>
  <si>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</si>
  <si>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</si>
  <si>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</si>
  <si>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</si>
  <si>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</si>
  <si>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</si>
  <si>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</si>
  <si>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</si>
  <si>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</si>
  <si>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</si>
  <si>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</si>
  <si>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</si>
  <si>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</si>
  <si>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</si>
  <si>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</si>
  <si>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</si>
  <si>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</si>
  <si>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</si>
  <si>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</si>
  <si>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</si>
  <si>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</si>
  <si>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</si>
  <si>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</si>
  <si>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</si>
  <si>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</si>
  <si>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</si>
  <si>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</si>
  <si>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</si>
  <si>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</si>
  <si>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</si>
  <si>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</si>
  <si>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</si>
  <si>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</si>
  <si>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</si>
  <si>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</si>
  <si>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</si>
  <si>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</si>
  <si>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</si>
  <si>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</si>
  <si>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</si>
  <si>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</si>
  <si>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</si>
  <si>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</si>
  <si>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</si>
  <si>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</si>
  <si>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</si>
  <si>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</si>
  <si>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</si>
  <si>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</si>
  <si>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</si>
  <si>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</si>
  <si>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</si>
  <si>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</si>
  <si>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</si>
  <si>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</si>
  <si>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</si>
  <si>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</si>
  <si>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</si>
  <si>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</si>
  <si>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</si>
  <si>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</si>
  <si>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</si>
  <si>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</si>
  <si>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</si>
  <si>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</si>
  <si>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</si>
  <si>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</si>
  <si>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</si>
  <si>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</si>
  <si>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</si>
  <si>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</si>
  <si>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</si>
  <si>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</si>
  <si>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</si>
  <si>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</si>
  <si>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</si>
  <si>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</si>
  <si>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</si>
  <si>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</si>
  <si>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</si>
  <si>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</si>
  <si>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</si>
  <si>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</si>
  <si>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</si>
  <si>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</si>
  <si>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</si>
  <si>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</si>
  <si>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</si>
  <si>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</si>
  <si>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</si>
  <si>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</si>
  <si>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</si>
  <si>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</si>
  <si>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</si>
  <si>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</si>
  <si>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</si>
  <si>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</si>
  <si>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</si>
  <si>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</si>
  <si>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</si>
  <si>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</si>
  <si>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</si>
  <si>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</si>
  <si>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</si>
  <si>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</si>
  <si>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</si>
  <si>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</si>
  <si>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</si>
  <si>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</si>
  <si>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</si>
  <si>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</si>
  <si>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</si>
  <si>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</si>
  <si>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</si>
  <si>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</si>
  <si>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</si>
  <si>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</si>
  <si>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</si>
  <si>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</si>
  <si>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</si>
  <si>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</si>
  <si>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</si>
  <si>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</si>
  <si>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</si>
  <si>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</si>
  <si>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</si>
  <si>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</si>
  <si>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</si>
  <si>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</si>
  <si>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</si>
  <si>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</si>
  <si>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</si>
  <si>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</si>
  <si>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</si>
  <si>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</si>
  <si>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</si>
  <si>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</si>
  <si>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</si>
  <si>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</si>
  <si>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</si>
  <si>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</si>
  <si>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</si>
  <si>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</si>
  <si>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</si>
  <si>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</si>
  <si>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</si>
  <si>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</si>
  <si>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</si>
  <si>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</si>
  <si>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</si>
  <si>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</si>
  <si>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</si>
  <si>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</si>
  <si>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</si>
  <si>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</si>
  <si>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</si>
  <si>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</si>
  <si>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</si>
  <si>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</si>
  <si>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</si>
  <si>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</si>
  <si>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</si>
  <si>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</si>
  <si>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</si>
  <si>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</si>
  <si>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</si>
  <si>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</si>
  <si>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</si>
  <si>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</si>
  <si>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</si>
  <si>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</si>
  <si>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</si>
  <si>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</si>
  <si>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</si>
  <si>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</si>
  <si>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</si>
  <si>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</si>
  <si>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</si>
  <si>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</si>
  <si>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</si>
  <si>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</si>
  <si>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</si>
  <si>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</si>
  <si>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</si>
  <si>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</si>
  <si>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</si>
  <si>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</si>
  <si>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</si>
  <si>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</si>
  <si>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</si>
  <si>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</si>
  <si>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</si>
  <si>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</si>
  <si>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</si>
  <si>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</si>
  <si>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</si>
  <si>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</si>
  <si>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</si>
  <si>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</si>
  <si>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</si>
  <si>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</si>
  <si>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</si>
  <si>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</si>
  <si>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</si>
  <si>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</si>
  <si>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</si>
  <si>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</si>
  <si>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</si>
  <si>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</si>
  <si>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</si>
  <si>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</si>
  <si>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</si>
  <si>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</si>
  <si>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</si>
  <si>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</si>
  <si>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</si>
  <si>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</si>
  <si>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</si>
  <si>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</si>
  <si>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</si>
  <si>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</si>
  <si>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</si>
  <si>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</si>
  <si>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</si>
  <si>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</si>
  <si>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</si>
  <si>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</si>
  <si>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</si>
  <si>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</si>
  <si>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</si>
  <si>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</si>
  <si>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</si>
  <si>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</si>
  <si>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</si>
  <si>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</si>
  <si>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</si>
  <si>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</si>
  <si>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</si>
  <si>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</si>
  <si>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</si>
  <si>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</si>
  <si>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</si>
  <si>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</si>
  <si>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</si>
  <si>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</si>
  <si>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</si>
  <si>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</si>
  <si>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</si>
  <si>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</si>
  <si>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</si>
  <si>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</si>
  <si>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</si>
  <si>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</si>
  <si>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</si>
  <si>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</si>
  <si>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</si>
  <si>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</si>
  <si>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</si>
  <si>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</si>
  <si>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</si>
  <si>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</si>
  <si>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</si>
  <si>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</si>
  <si>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</si>
  <si>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</si>
  <si>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</si>
  <si>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</si>
  <si>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</si>
  <si>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</si>
  <si>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</si>
  <si>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</si>
  <si>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</si>
  <si>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</si>
  <si>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</si>
  <si>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</si>
  <si>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</si>
  <si>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</si>
  <si>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</si>
  <si>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</si>
  <si>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</si>
  <si>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</si>
  <si>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</si>
  <si>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</si>
  <si>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</si>
  <si>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</si>
  <si>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</si>
  <si>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</si>
  <si>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</si>
  <si>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</si>
  <si>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</si>
  <si>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</si>
  <si>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</si>
  <si>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</si>
  <si>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</si>
  <si>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</si>
  <si>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</si>
  <si>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</si>
  <si>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</si>
  <si>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</si>
  <si>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</si>
  <si>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</si>
  <si>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</si>
  <si>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</si>
  <si>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</si>
  <si>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</si>
  <si>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</si>
  <si>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</si>
  <si>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</si>
  <si>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</si>
  <si>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</si>
  <si>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</si>
  <si>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</si>
  <si>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</si>
  <si>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</si>
  <si>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</si>
  <si>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</si>
  <si>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</si>
  <si>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</si>
  <si>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</si>
  <si>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</si>
  <si>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</si>
  <si>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</si>
  <si>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</si>
  <si>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</si>
  <si>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</si>
  <si>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</si>
  <si>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</si>
  <si>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</si>
  <si>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</si>
  <si>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</si>
  <si>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</si>
  <si>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</si>
  <si>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</si>
  <si>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</si>
  <si>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</si>
  <si>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</si>
  <si>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</si>
  <si>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</si>
  <si>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</si>
  <si>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</si>
  <si>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</si>
  <si>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</si>
  <si>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</si>
  <si>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</si>
  <si>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</si>
  <si>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</si>
  <si>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</si>
  <si>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</si>
  <si>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</si>
  <si>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</si>
  <si>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</si>
  <si>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</si>
  <si>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</si>
  <si>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</si>
  <si>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</si>
  <si>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</si>
  <si>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</si>
  <si>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</si>
  <si>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</si>
  <si>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</si>
  <si>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</si>
  <si>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</si>
  <si>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</si>
  <si>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</si>
  <si>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</si>
  <si>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</si>
  <si>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</si>
  <si>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</si>
  <si>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</si>
  <si>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</si>
  <si>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</si>
  <si>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</si>
  <si>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</si>
  <si>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</si>
  <si>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</si>
  <si>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</si>
  <si>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</si>
  <si>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</si>
  <si>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</si>
  <si>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</si>
  <si>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</si>
  <si>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</si>
  <si>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</si>
  <si>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</si>
  <si>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</si>
  <si>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</si>
  <si>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</si>
  <si>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</si>
  <si>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</si>
  <si>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</si>
  <si>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</si>
  <si>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</si>
  <si>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</si>
  <si>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</si>
  <si>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</si>
  <si>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</si>
  <si>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</si>
  <si>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</si>
  <si>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</si>
  <si>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</si>
  <si>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</si>
  <si>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</si>
  <si>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</si>
  <si>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</si>
  <si>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</si>
  <si>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</si>
  <si>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</si>
  <si>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</si>
  <si>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</si>
  <si>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</si>
  <si>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</si>
  <si>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</si>
  <si>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</si>
  <si>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</si>
  <si>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</si>
  <si>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</si>
  <si>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</si>
  <si>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</si>
  <si>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</si>
  <si>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</si>
  <si>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</si>
  <si>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</si>
  <si>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</si>
  <si>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</si>
  <si>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</si>
  <si>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</si>
  <si>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</si>
  <si>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</si>
  <si>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</si>
  <si>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</si>
  <si>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</si>
  <si>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</si>
  <si>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</si>
  <si>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</si>
  <si>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</si>
  <si>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</si>
  <si>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</si>
  <si>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</si>
  <si>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</si>
  <si>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</si>
  <si>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</si>
  <si>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</si>
  <si>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</si>
  <si>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</si>
  <si>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</si>
  <si>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</si>
  <si>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</si>
  <si>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</si>
  <si>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</si>
  <si>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</si>
  <si>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</si>
  <si>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</si>
  <si>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</si>
  <si>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</si>
  <si>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</si>
  <si>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</si>
  <si>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</si>
  <si>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</si>
  <si>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</si>
  <si>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</si>
  <si>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</si>
  <si>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</si>
  <si>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</si>
  <si>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</si>
  <si>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</si>
  <si>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</si>
  <si>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</si>
  <si>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</si>
  <si>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</si>
  <si>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</si>
  <si>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</si>
  <si>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</si>
  <si>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</si>
  <si>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</si>
  <si>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</si>
  <si>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</si>
  <si>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</si>
  <si>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</si>
  <si>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</si>
  <si>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</si>
  <si>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</si>
  <si>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</si>
  <si>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</si>
  <si>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</si>
  <si>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</si>
  <si>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</si>
  <si>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</si>
  <si>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</si>
  <si>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</si>
  <si>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</si>
  <si>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</si>
  <si>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</si>
  <si>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</si>
  <si>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</si>
  <si>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</si>
  <si>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</si>
  <si>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</si>
  <si>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</si>
  <si>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</si>
  <si>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</si>
  <si>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</si>
  <si>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</si>
  <si>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</si>
  <si>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</si>
  <si>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</si>
  <si>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</si>
  <si>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</si>
  <si>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</si>
  <si>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</si>
  <si>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</si>
  <si>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</si>
  <si>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</si>
  <si>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</si>
  <si>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</si>
  <si>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</si>
  <si>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</si>
  <si>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</si>
  <si>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</si>
  <si>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</si>
  <si>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</si>
  <si>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</si>
  <si>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</si>
  <si>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</si>
  <si>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</si>
  <si>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</si>
  <si>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</si>
  <si>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</si>
  <si>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</si>
  <si>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</si>
  <si>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</si>
  <si>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</si>
  <si>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</si>
  <si>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</si>
  <si>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</si>
  <si>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</si>
  <si>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</si>
  <si>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</si>
  <si>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</si>
  <si>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</si>
  <si>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</si>
  <si>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</si>
  <si>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</si>
  <si>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</si>
  <si>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</si>
  <si>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</si>
  <si>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</si>
  <si>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</si>
  <si>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</si>
  <si>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</si>
  <si>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</si>
  <si>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</si>
  <si>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</si>
  <si>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</si>
  <si>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</si>
  <si>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</si>
  <si>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</si>
  <si>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</si>
  <si>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</si>
  <si>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</si>
  <si>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</si>
  <si>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</si>
  <si>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</si>
  <si>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</si>
  <si>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</si>
  <si>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</si>
  <si>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</si>
  <si>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</si>
  <si>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</si>
  <si>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</si>
  <si>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</si>
  <si>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</si>
  <si>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</si>
  <si>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</si>
  <si>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</si>
  <si>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</si>
  <si>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</si>
  <si>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</si>
  <si>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</si>
  <si>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</si>
  <si>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</si>
  <si>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</si>
  <si>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</si>
  <si>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</si>
  <si>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</si>
  <si>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</si>
  <si>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</si>
  <si>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</si>
  <si>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</si>
  <si>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</si>
  <si>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</si>
  <si>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</si>
  <si>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</si>
  <si>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</si>
  <si>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</si>
  <si>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</si>
  <si>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</si>
  <si>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</si>
  <si>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</si>
  <si>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</si>
  <si>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</si>
  <si>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</si>
  <si>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</si>
  <si>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</si>
  <si>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</si>
  <si>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</si>
  <si>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</si>
  <si>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</si>
  <si>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</si>
  <si>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</si>
  <si>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</si>
  <si>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</si>
  <si>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</si>
  <si>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</si>
  <si>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</si>
  <si>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</si>
  <si>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</si>
  <si>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</si>
  <si>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</si>
  <si>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</si>
  <si>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</si>
  <si>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</si>
  <si>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</si>
  <si>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</si>
  <si>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</si>
  <si>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</si>
  <si>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</si>
  <si>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</si>
  <si>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</si>
  <si>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</si>
  <si>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</si>
  <si>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</si>
  <si>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</si>
  <si>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</si>
  <si>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</si>
  <si>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</si>
  <si>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</si>
  <si>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</si>
  <si>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</si>
  <si>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</si>
  <si>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</si>
  <si>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</si>
  <si>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</si>
  <si>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</si>
  <si>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</si>
  <si>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</si>
  <si>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</si>
  <si>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</si>
  <si>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</si>
  <si>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</si>
  <si>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</si>
  <si>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</si>
  <si>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</si>
  <si>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</si>
  <si>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</si>
  <si>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</si>
  <si>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</si>
  <si>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</si>
  <si>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</si>
  <si>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</si>
  <si>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</si>
  <si>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</si>
  <si>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</si>
  <si>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</si>
  <si>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</si>
  <si>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</si>
  <si>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</si>
  <si>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</si>
  <si>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</si>
  <si>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</si>
  <si>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</si>
  <si>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</si>
  <si>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</si>
  <si>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</si>
  <si>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</si>
  <si>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</si>
  <si>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</si>
  <si>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</si>
  <si>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</si>
  <si>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</si>
  <si>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</si>
  <si>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</si>
  <si>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</si>
  <si>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</si>
  <si>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</si>
  <si>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</si>
  <si>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</si>
  <si>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</si>
  <si>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</si>
  <si>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</si>
  <si>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</si>
  <si>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</si>
  <si>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</si>
  <si>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</si>
  <si>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</si>
  <si>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</si>
  <si>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</si>
  <si>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</si>
  <si>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</si>
  <si>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</si>
  <si>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</si>
  <si>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</si>
  <si>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</si>
  <si>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</si>
  <si>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</si>
  <si>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</si>
  <si>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</si>
  <si>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</si>
  <si>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</si>
  <si>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</si>
  <si>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</si>
  <si>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</si>
  <si>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</si>
  <si>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</si>
  <si>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</si>
  <si>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</si>
  <si>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</si>
  <si>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</si>
  <si>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</si>
  <si>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</si>
  <si>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</si>
  <si>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</si>
  <si>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</si>
  <si>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</si>
  <si>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</si>
  <si>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</si>
  <si>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</si>
  <si>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</si>
  <si>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</si>
  <si>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</si>
  <si>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</si>
  <si>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</si>
  <si>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</si>
  <si>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</si>
  <si>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</si>
  <si>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</si>
  <si>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</si>
  <si>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</si>
  <si>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</si>
  <si>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</si>
  <si>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</si>
  <si>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</si>
  <si>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</si>
  <si>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</si>
  <si>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</si>
  <si>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</si>
  <si>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</si>
  <si>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</si>
  <si>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</si>
  <si>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</si>
  <si>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</si>
  <si>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</si>
  <si>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</si>
  <si>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</si>
  <si>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</si>
  <si>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</si>
  <si>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</si>
  <si>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</si>
  <si>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</si>
  <si>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</si>
  <si>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</si>
  <si>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</si>
  <si>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</si>
  <si>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</si>
  <si>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</si>
  <si>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</si>
  <si>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</si>
  <si>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</si>
  <si>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</si>
  <si>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</si>
  <si>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</si>
  <si>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</si>
  <si>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</si>
  <si>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</si>
  <si>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</si>
  <si>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</si>
  <si>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</si>
  <si>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</si>
  <si>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</si>
  <si>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</si>
  <si>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</si>
  <si>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</si>
  <si>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</si>
  <si>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</si>
  <si>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</si>
  <si>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</si>
  <si>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</si>
  <si>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</si>
  <si>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</si>
  <si>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</si>
  <si>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</si>
  <si>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</si>
  <si>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</si>
  <si>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</si>
  <si>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</si>
  <si>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</si>
  <si>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</si>
  <si>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</si>
  <si>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</si>
  <si>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</si>
  <si>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</si>
  <si>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</si>
  <si>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</si>
  <si>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</si>
  <si>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</si>
  <si>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</si>
  <si>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</si>
  <si>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</si>
  <si>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</si>
  <si>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</si>
  <si>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</si>
  <si>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</si>
  <si>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</si>
  <si>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</si>
  <si>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</si>
  <si>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</si>
  <si>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</si>
  <si>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</si>
  <si>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</si>
  <si>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</si>
  <si>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</si>
  <si>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</si>
  <si>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</si>
  <si>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</si>
  <si>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</si>
  <si>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</si>
  <si>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</si>
  <si>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</si>
  <si>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</si>
  <si>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</si>
  <si>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</si>
  <si>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</si>
  <si>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</si>
  <si>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</si>
  <si>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</si>
  <si>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</si>
  <si>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</si>
  <si>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</si>
  <si>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</si>
  <si>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</si>
  <si>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</si>
  <si>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</si>
  <si>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</si>
  <si>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</si>
  <si>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</si>
  <si>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</si>
  <si>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</si>
  <si>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</si>
  <si>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</si>
  <si>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</si>
  <si>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</si>
  <si>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</si>
  <si>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</si>
  <si>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</si>
  <si>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</si>
  <si>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</si>
  <si>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</si>
  <si>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</si>
  <si>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</si>
  <si>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</si>
  <si>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</si>
  <si>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</si>
  <si>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</si>
  <si>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</si>
  <si>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</si>
  <si>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</si>
  <si>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</si>
  <si>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</si>
  <si>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</si>
  <si>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</si>
  <si>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</si>
  <si>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</si>
  <si>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</si>
  <si>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</si>
  <si>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</si>
  <si>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</si>
  <si>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</si>
  <si>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</si>
  <si>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</si>
  <si>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</si>
  <si>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</si>
  <si>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</si>
  <si>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</si>
  <si>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</si>
  <si>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</si>
  <si>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</si>
  <si>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</si>
  <si>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</si>
  <si>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</si>
  <si>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</si>
  <si>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</si>
  <si>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</si>
  <si>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</si>
  <si>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</si>
  <si>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</si>
  <si>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</si>
  <si>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</si>
  <si>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</si>
  <si>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</si>
  <si>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</si>
  <si>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</si>
  <si>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</si>
  <si>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</si>
  <si>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</si>
  <si>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</si>
  <si>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</si>
  <si>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</si>
  <si>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</si>
  <si>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</si>
  <si>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</si>
  <si>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</si>
  <si>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</si>
  <si>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</si>
  <si>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</si>
  <si>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</si>
  <si>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</si>
  <si>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</si>
  <si>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</si>
  <si>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</si>
  <si>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</si>
  <si>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</si>
  <si>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</si>
  <si>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</si>
  <si>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</si>
  <si>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</si>
  <si>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</si>
  <si>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</si>
  <si>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</si>
  <si>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</si>
  <si>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</si>
  <si>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</si>
  <si>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</si>
  <si>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</si>
  <si>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</si>
  <si>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</si>
  <si>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</si>
  <si>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</si>
  <si>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</si>
  <si>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</si>
  <si>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</si>
  <si>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</si>
  <si>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</si>
  <si>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</si>
  <si>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</si>
  <si>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</si>
  <si>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</si>
  <si>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</si>
  <si>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</si>
  <si>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</si>
  <si>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</si>
  <si>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</si>
  <si>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</si>
  <si>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</si>
  <si>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</si>
  <si>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</si>
  <si>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</si>
  <si>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</si>
  <si>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</si>
  <si>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</si>
  <si>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</si>
  <si>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</si>
  <si>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</si>
  <si>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</si>
  <si>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</si>
  <si>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</si>
  <si>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</si>
  <si>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</si>
  <si>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</si>
  <si>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</si>
  <si>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</si>
  <si>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</si>
  <si>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</si>
  <si>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</si>
  <si>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</si>
  <si>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</si>
  <si>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</si>
  <si>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</si>
  <si>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</si>
  <si>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</si>
  <si>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</si>
  <si>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</si>
  <si>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</si>
  <si>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</si>
  <si>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</si>
  <si>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</si>
  <si>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</si>
  <si>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</si>
  <si>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</si>
  <si>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</si>
  <si>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</si>
  <si>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</si>
  <si>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</si>
  <si>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</si>
  <si>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</si>
  <si>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</si>
  <si>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</si>
  <si>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</si>
  <si>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</si>
  <si>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</si>
  <si>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</si>
  <si>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</si>
  <si>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</si>
  <si>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</si>
  <si>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</si>
  <si>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</si>
  <si>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</si>
  <si>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</si>
  <si>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</si>
  <si>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</si>
  <si>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</si>
  <si>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</si>
  <si>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</si>
  <si>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</si>
  <si>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</si>
  <si>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</si>
  <si>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</si>
  <si>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</si>
  <si>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</si>
  <si>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</si>
  <si>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</si>
  <si>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</si>
  <si>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</si>
  <si>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</si>
  <si>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</si>
  <si>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</si>
  <si>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</si>
  <si>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</si>
  <si>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</si>
  <si>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</si>
  <si>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</si>
  <si>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</si>
  <si>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</si>
  <si>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</si>
  <si>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</si>
  <si>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</si>
  <si>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</si>
  <si>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</si>
  <si>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</si>
  <si>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</si>
  <si>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</si>
  <si>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</si>
  <si>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</si>
  <si>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</si>
  <si>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</si>
  <si>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</si>
  <si>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</si>
  <si>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</si>
  <si>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</si>
  <si>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</si>
  <si>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</si>
  <si>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</si>
  <si>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</si>
  <si>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</si>
  <si>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</si>
  <si>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</si>
  <si>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</si>
  <si>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</si>
  <si>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</si>
  <si>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</si>
  <si>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</si>
  <si>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</si>
  <si>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</si>
  <si>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</si>
  <si>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</si>
  <si>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</si>
  <si>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</si>
  <si>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</si>
  <si>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</si>
  <si>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</si>
  <si>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</si>
  <si>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</si>
  <si>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</si>
  <si>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</si>
  <si>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</si>
  <si>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</si>
  <si>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</si>
  <si>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</si>
  <si>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</si>
  <si>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</si>
  <si>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</si>
  <si>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</si>
  <si>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</si>
  <si>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</si>
  <si>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</si>
  <si>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</si>
  <si>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</si>
  <si>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</si>
  <si>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</si>
  <si>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</si>
  <si>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</si>
  <si>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</si>
  <si>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</si>
  <si>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</si>
  <si>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</si>
  <si>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</si>
  <si>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</si>
  <si>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</si>
  <si>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</si>
  <si>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</si>
  <si>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</si>
  <si>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</si>
  <si>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</si>
  <si>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</si>
  <si>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</si>
  <si>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</si>
  <si>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</si>
  <si>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</si>
  <si>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</si>
  <si>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</si>
  <si>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</si>
  <si>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</si>
  <si>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</si>
  <si>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</si>
  <si>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</si>
  <si>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</si>
  <si>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</si>
  <si>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</si>
  <si>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</si>
  <si>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</si>
  <si>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</si>
  <si>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</si>
  <si>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</si>
  <si>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</si>
  <si>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</si>
  <si>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</si>
  <si>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</si>
  <si>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</si>
  <si>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</si>
  <si>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</si>
  <si>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</si>
  <si>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</si>
  <si>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</si>
  <si>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</si>
  <si>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</si>
  <si>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</si>
  <si>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</si>
  <si>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</si>
  <si>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</si>
  <si>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</si>
  <si>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</si>
  <si>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</si>
  <si>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</si>
  <si>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</si>
  <si>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</si>
  <si>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</si>
  <si>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</si>
  <si>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</si>
  <si>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</si>
  <si>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</si>
  <si>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</si>
  <si>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</si>
  <si>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</si>
  <si>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</si>
  <si>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</si>
  <si>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</si>
  <si>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</si>
  <si>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</si>
  <si>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</si>
  <si>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</si>
  <si>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</si>
  <si>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</si>
  <si>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</si>
  <si>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</si>
  <si>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</si>
  <si>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</si>
  <si>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</si>
  <si>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</si>
  <si>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</si>
  <si>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</si>
  <si>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</si>
  <si>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</si>
  <si>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</si>
  <si>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</si>
  <si>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</si>
  <si>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</si>
  <si>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</si>
  <si>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</si>
  <si>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</si>
  <si>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</si>
  <si>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</si>
  <si>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</si>
  <si>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</si>
  <si>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</si>
  <si>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</si>
  <si>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</si>
  <si>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</si>
  <si>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</si>
  <si>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</si>
  <si>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</si>
  <si>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</si>
  <si>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</si>
  <si>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</si>
  <si>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</si>
  <si>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</si>
  <si>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</si>
  <si>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</si>
  <si>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</si>
  <si>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</si>
  <si>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</si>
  <si>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</si>
  <si>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</si>
  <si>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</si>
  <si>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</si>
  <si>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</si>
  <si>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</si>
  <si>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</si>
  <si>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</si>
  <si>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</si>
  <si>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</si>
  <si>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</si>
  <si>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</si>
  <si>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</si>
  <si>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</si>
  <si>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</si>
  <si>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</si>
  <si>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</si>
  <si>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</si>
  <si>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</si>
  <si>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</si>
  <si>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</si>
  <si>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</si>
  <si>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</si>
  <si>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</si>
  <si>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</si>
  <si>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</si>
  <si>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</si>
  <si>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</si>
  <si>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</si>
  <si>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</si>
  <si>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</si>
  <si>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</si>
  <si>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</si>
  <si>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</si>
  <si>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</si>
  <si>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</si>
  <si>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</si>
  <si>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</si>
  <si>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</si>
  <si>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</si>
  <si>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</si>
  <si>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</si>
  <si>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</si>
  <si>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</si>
  <si>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</si>
  <si>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</si>
  <si>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</si>
  <si>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</si>
  <si>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</si>
  <si>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</si>
  <si>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</si>
  <si>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</si>
  <si>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</si>
  <si>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</si>
  <si>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</si>
  <si>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</si>
  <si>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</si>
  <si>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</si>
  <si>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</si>
  <si>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</si>
  <si>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</si>
  <si>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</si>
  <si>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</si>
  <si>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</si>
  <si>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</si>
  <si>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</si>
  <si>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</si>
  <si>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</si>
  <si>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</si>
  <si>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</si>
  <si>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</si>
  <si>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</si>
  <si>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</si>
  <si>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</si>
  <si>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</si>
  <si>
    <t>住宅、商业</t>
    <phoneticPr fontId="21" type="noConversion"/>
  </si>
  <si>
    <t>住宅</t>
    <phoneticPr fontId="26" type="noConversion"/>
  </si>
  <si>
    <t>住宅、商业</t>
    <phoneticPr fontId="26"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</si>
  <si>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</si>
  <si>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</si>
  <si>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</si>
  <si>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</si>
  <si>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</si>
  <si>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</si>
  <si>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</si>
  <si>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</si>
  <si>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</si>
  <si>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</si>
  <si>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</si>
  <si>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</si>
  <si>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</si>
  <si>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</si>
  <si>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</si>
  <si>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</si>
  <si>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</si>
  <si>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</si>
  <si>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</si>
  <si>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</si>
  <si>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</si>
  <si>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是</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</si>
  <si>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</si>
  <si>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</si>
  <si>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</si>
  <si>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</si>
  <si>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</si>
  <si>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</si>
  <si>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</si>
  <si>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</si>
  <si>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</si>
  <si>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</si>
  <si>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</si>
  <si>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</si>
  <si>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</si>
  <si>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</si>
  <si>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</si>
  <si>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</si>
  <si>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</si>
  <si>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</si>
  <si>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</si>
  <si>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</si>
  <si>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</si>
  <si>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</si>
  <si>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</si>
  <si>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</si>
  <si>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</si>
  <si>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</si>
  <si>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</si>
  <si>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</si>
  <si>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</si>
  <si>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</si>
  <si>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</si>
  <si>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</si>
  <si>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</si>
  <si>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</si>
  <si>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</si>
  <si>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</si>
  <si>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</si>
  <si>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</si>
  <si>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</si>
  <si>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</si>
  <si>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</si>
  <si>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</si>
  <si>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</si>
  <si>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</si>
  <si>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</si>
  <si>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否</t>
    <phoneticPr fontId="26"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</si>
  <si>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</si>
  <si>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</si>
  <si>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</si>
  <si>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</si>
  <si>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</si>
  <si>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</si>
  <si>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</si>
  <si>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</si>
  <si>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</si>
  <si>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</si>
  <si>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</si>
  <si>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</si>
  <si>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</si>
  <si>
    <t>非个人房产</t>
  </si>
  <si>
    <t>计容增加面积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</si>
</sst>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6"/>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8" fontId="71" fillId="0" borderId="64" xfId="0" applyNumberFormat="1" applyFont="1" applyFill="1" applyBorder="1" applyAlignment="1" applyProtection="1">
      <alignment horizontal="center" vertical="center" wrapText="1"/>
      <protection locked="0"/>
    </xf>
    <xf numFmtId="178" fontId="71" fillId="0" borderId="9" xfId="0" applyNumberFormat="1" applyFont="1" applyFill="1" applyBorder="1" applyAlignment="1" applyProtection="1">
      <alignment horizontal="center" vertical="center" wrapText="1"/>
      <protection locked="0"/>
    </xf>
    <xf numFmtId="178"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45" fillId="8" borderId="0" xfId="0" applyFont="1" applyFill="1" applyAlignment="1"/>
    <xf numFmtId="0" fontId="145" fillId="17" borderId="0" xfId="0" applyFont="1" applyFill="1" applyAlignment="1"/>
    <xf numFmtId="0" fontId="76" fillId="22" borderId="0" xfId="0" applyFont="1" applyFill="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2655</v>
      </c>
      <c r="B1" s="2847" t="s">
        <v>2752</v>
      </c>
    </row>
    <row r="2" spans="1:55" s="2851" customFormat="1" ht="16.2" thickTop="1">
      <c r="A2" s="2849" t="s">
        <v>2659</v>
      </c>
      <c r="B2" s="2850" t="str">
        <f>'预评函-封皮'!B37</f>
        <v>k5雅苑出让国有建设用地使用权抵押价格预评估</v>
      </c>
      <c r="AX2" s="2852"/>
      <c r="AZ2" s="2852"/>
      <c r="BA2" s="2853"/>
      <c r="BC2" s="2853"/>
    </row>
    <row r="3" spans="1:55" s="2854" customFormat="1">
      <c r="A3" s="2833" t="s">
        <v>2660</v>
      </c>
      <c r="B3" s="2836" t="str">
        <f>'预评函-封皮'!B40</f>
        <v>五矿信托</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2662</v>
      </c>
      <c r="B5" s="2856" t="str">
        <f>'预评函-封皮'!B49</f>
        <v>康正预评字号</v>
      </c>
    </row>
    <row r="6" spans="1:55" s="2857" customFormat="1" ht="16.2" thickTop="1">
      <c r="A6" s="2849" t="s">
        <v>2704</v>
      </c>
      <c r="B6" s="2850" t="str">
        <f>'预评函-1'!A4</f>
        <v>受贵公司委托，我公司对k5雅苑出让国有建设用地使用权抵押价格进行了预评估。</v>
      </c>
      <c r="AM6" s="2858"/>
    </row>
    <row r="7" spans="1:55" s="2832" customFormat="1">
      <c r="A7" s="2833" t="s">
        <v>2656</v>
      </c>
      <c r="B7" s="2834" t="str">
        <f>'预评函-1'!A6</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2019年7月11日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根据《国有土地使用证》[]，估价对象（分摊）出让国有建设用地使用权面积为38151.28平方米。根据《建设工程规划许可证》[]、《出让合同》[]，估价对象规划建筑面积为245201.189903754平方米。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估价期日：2019年7月11日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38151.279999999999</v>
      </c>
    </row>
    <row r="44" spans="1:2">
      <c r="A44" s="2833" t="s">
        <v>2739</v>
      </c>
      <c r="B44" s="2834" t="str">
        <f>'预评函-2'!O3</f>
        <v>规划建筑面积/㎡</v>
      </c>
    </row>
    <row r="45" spans="1:2">
      <c r="A45" s="2833" t="s">
        <v>2721</v>
      </c>
      <c r="B45" s="2834">
        <f>'预评函-2'!O5</f>
        <v>245201.18990375422</v>
      </c>
    </row>
    <row r="46" spans="1:2">
      <c r="A46" s="2833" t="s">
        <v>2722</v>
      </c>
      <c r="B46" s="2834">
        <f ca="1">'预评函-2'!P5</f>
        <v>41750</v>
      </c>
    </row>
    <row r="47" spans="1:2">
      <c r="A47" s="2833" t="s">
        <v>2723</v>
      </c>
      <c r="B47" s="2834">
        <f ca="1">'预评函-2'!Q5</f>
        <v>6496</v>
      </c>
    </row>
    <row r="48" spans="1:2">
      <c r="A48" s="2833" t="s">
        <v>2724</v>
      </c>
      <c r="B48" s="2834">
        <f ca="1">'预评函-2'!R5</f>
        <v>159280</v>
      </c>
    </row>
    <row r="49" spans="1:2">
      <c r="A49" s="2833" t="s">
        <v>2740</v>
      </c>
      <c r="B49" s="2834" t="str">
        <f>'预评函-2'!A6</f>
        <v>抵押价格</v>
      </c>
    </row>
    <row r="50" spans="1:2">
      <c r="A50" s="2833" t="s">
        <v>2725</v>
      </c>
      <c r="B50" s="2834">
        <f ca="1">'预评函-2'!R6</f>
        <v>159280</v>
      </c>
    </row>
    <row r="51" spans="1:2">
      <c r="A51" s="2833" t="s">
        <v>2741</v>
      </c>
      <c r="B51" s="2834" t="str">
        <f>'预评函-2'!A7</f>
        <v>——</v>
      </c>
    </row>
    <row r="52" spans="1:2">
      <c r="A52" s="2833" t="s">
        <v>2726</v>
      </c>
      <c r="B52" s="2834" t="str">
        <f>'预评函-2'!R7</f>
        <v>——</v>
      </c>
    </row>
    <row r="53" spans="1:2">
      <c r="A53" s="2833" t="s">
        <v>2742</v>
      </c>
      <c r="B53" s="2834" t="str">
        <f>'预评函-2'!A8</f>
        <v>抵押净值</v>
      </c>
    </row>
    <row r="54" spans="1:2" s="2848" customFormat="1" ht="16.2" thickBot="1">
      <c r="A54" s="2855" t="s">
        <v>2727</v>
      </c>
      <c r="B54" s="2856">
        <f ca="1">'预评函-2'!R8</f>
        <v>110282</v>
      </c>
    </row>
    <row r="55" spans="1:2" ht="16.2"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6.2" thickBot="1">
      <c r="A58" s="2855" t="s">
        <v>2728</v>
      </c>
      <c r="B58" s="2856" t="str">
        <f>'预评函-3'!A5</f>
        <v>4.影响价格的其他限定条件：无。</v>
      </c>
    </row>
    <row r="59" spans="1:2" ht="16.2"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2691</v>
      </c>
      <c r="B68" s="2859">
        <f>'预评函-3'!D30</f>
        <v>42558</v>
      </c>
    </row>
    <row r="69" spans="1:2" ht="16.2"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6.2" thickBot="1">
      <c r="A72" s="2855" t="s">
        <v>2690</v>
      </c>
      <c r="B72" s="2861">
        <f>'预评函-3'!B21</f>
        <v>0</v>
      </c>
    </row>
    <row r="73" spans="1:2" ht="16.2"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5.6"/>
  <cols>
    <col min="1" max="1" width="15.33203125" style="1675" customWidth="1"/>
    <col min="2" max="2" width="11.33203125" style="1675" customWidth="1"/>
    <col min="3" max="3" width="12.6640625" style="1675" customWidth="1"/>
    <col min="4" max="4" width="13.3320312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75" t="str">
        <f>IF(B10="北京市","北京市",C10)&amp;F10&amp;B16&amp;"国有建设用地使用权"&amp;B9&amp;"预评估"</f>
        <v>k5雅苑出让国有建设用地使用权抵押价格预评估</v>
      </c>
      <c r="C1" s="3276"/>
      <c r="D1" s="3276"/>
      <c r="E1" s="3276"/>
      <c r="F1" s="3276"/>
      <c r="G1" s="3276"/>
      <c r="H1" s="3276"/>
      <c r="I1" s="3277"/>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43650</v>
      </c>
      <c r="C3" s="1647" t="s">
        <v>1995</v>
      </c>
      <c r="D3" s="1646">
        <v>43657</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2887</v>
      </c>
      <c r="C4" s="1830">
        <f>SUMIF(土地估价师,B4,估价师及机构信息!E3:E24)</f>
        <v>0</v>
      </c>
      <c r="D4" s="1827" t="s">
        <v>2887</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t="s">
        <v>2995</v>
      </c>
      <c r="C5" s="1650"/>
      <c r="D5" s="1651"/>
      <c r="E5" s="1678"/>
      <c r="F5" s="1678"/>
      <c r="G5" s="1678"/>
      <c r="H5" s="1644"/>
      <c r="I5" s="1679"/>
      <c r="J5" s="1678"/>
      <c r="K5" s="1758"/>
      <c r="L5" s="1707"/>
      <c r="M5" s="1707"/>
      <c r="N5" s="1678"/>
      <c r="O5" s="1679"/>
      <c r="P5" s="1678"/>
      <c r="Q5" s="1678"/>
      <c r="R5" s="1678"/>
      <c r="S5" s="1678"/>
      <c r="T5" s="1678"/>
      <c r="U5" s="1678"/>
    </row>
    <row r="6" spans="1:21" ht="27.6">
      <c r="A6" s="1647" t="s">
        <v>2705</v>
      </c>
      <c r="B6" s="1773" t="s">
        <v>2996</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81" t="s">
        <v>1944</v>
      </c>
      <c r="E8" s="1828" t="s">
        <v>3001</v>
      </c>
      <c r="F8" s="1656"/>
      <c r="G8" s="1644"/>
      <c r="H8" s="1644"/>
      <c r="I8" s="1691"/>
      <c r="J8" s="1678"/>
      <c r="K8" s="1758"/>
      <c r="L8" s="1707"/>
      <c r="M8" s="1707"/>
      <c r="N8" s="1678"/>
      <c r="O8" s="1679"/>
      <c r="P8" s="1678"/>
      <c r="Q8" s="1678"/>
      <c r="R8" s="1678"/>
      <c r="S8" s="1678"/>
      <c r="T8" s="1678"/>
      <c r="U8" s="1678"/>
    </row>
    <row r="9" spans="1:21" ht="16.2" thickBot="1">
      <c r="A9" s="1657" t="s">
        <v>1943</v>
      </c>
      <c r="B9" s="1658" t="s">
        <v>3001</v>
      </c>
      <c r="C9" s="1659"/>
      <c r="D9" s="3282"/>
      <c r="E9" s="1658" t="s">
        <v>2853</v>
      </c>
      <c r="F9" s="1731"/>
      <c r="G9" s="1726"/>
      <c r="H9" s="1726"/>
      <c r="I9" s="1727"/>
      <c r="J9" s="1678"/>
      <c r="K9" s="1758"/>
      <c r="L9" s="1707"/>
      <c r="M9" s="1707"/>
      <c r="N9" s="1678"/>
      <c r="O9" s="1679"/>
      <c r="P9" s="1678"/>
      <c r="Q9" s="1678"/>
      <c r="R9" s="1678"/>
      <c r="S9" s="1678"/>
      <c r="T9" s="1678"/>
      <c r="U9" s="1678"/>
    </row>
    <row r="10" spans="1:21" ht="16.2" thickTop="1">
      <c r="A10" s="1728" t="s">
        <v>1999</v>
      </c>
      <c r="B10" s="1703" t="s">
        <v>2997</v>
      </c>
      <c r="C10" s="1660"/>
      <c r="D10" s="1651"/>
      <c r="E10" s="1661" t="s">
        <v>1946</v>
      </c>
      <c r="F10" s="1662" t="s">
        <v>2999</v>
      </c>
      <c r="G10" s="1729"/>
      <c r="H10" s="1730"/>
      <c r="I10" s="1651"/>
      <c r="J10" s="1678"/>
      <c r="K10" s="1758"/>
      <c r="L10" s="1707"/>
      <c r="M10" s="1707"/>
      <c r="N10" s="1678"/>
      <c r="O10" s="1679"/>
      <c r="P10" s="1678"/>
      <c r="Q10" s="1678"/>
      <c r="R10" s="1678"/>
      <c r="S10" s="1678"/>
      <c r="T10" s="1678"/>
      <c r="U10" s="1678"/>
    </row>
    <row r="11" spans="1:21">
      <c r="A11" s="1681" t="s">
        <v>2000</v>
      </c>
      <c r="B11" s="1682" t="s">
        <v>2998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8"/>
      <c r="C12" s="3279"/>
      <c r="D12" s="3280"/>
      <c r="E12" s="1683" t="s">
        <v>2061</v>
      </c>
      <c r="F12" s="3296" t="s">
        <v>2888</v>
      </c>
      <c r="G12" s="3297"/>
      <c r="H12" s="3297"/>
      <c r="I12" s="3298"/>
      <c r="J12" s="1678"/>
      <c r="K12" s="1758"/>
      <c r="L12" s="1707"/>
      <c r="M12" s="1707"/>
      <c r="N12" s="1678"/>
      <c r="O12" s="1679"/>
      <c r="P12" s="1678"/>
      <c r="Q12" s="1678"/>
      <c r="R12" s="1678"/>
      <c r="S12" s="1678"/>
      <c r="T12" s="1678"/>
      <c r="U12" s="1678"/>
    </row>
    <row r="13" spans="1:21">
      <c r="A13" s="1671" t="s">
        <v>2059</v>
      </c>
      <c r="B13" s="3278"/>
      <c r="C13" s="3279"/>
      <c r="D13" s="3280"/>
      <c r="E13" s="1683" t="s">
        <v>2061</v>
      </c>
      <c r="F13" s="3296" t="s">
        <v>2889</v>
      </c>
      <c r="G13" s="3297"/>
      <c r="H13" s="3297"/>
      <c r="I13" s="329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31.2">
      <c r="A16" s="1664" t="s">
        <v>1947</v>
      </c>
      <c r="B16" s="1665" t="s">
        <v>2990</v>
      </c>
      <c r="C16" s="1683" t="s">
        <v>1948</v>
      </c>
      <c r="D16" s="2610" t="s">
        <v>1949</v>
      </c>
      <c r="E16" s="1706" t="s">
        <v>3000</v>
      </c>
      <c r="F16" s="1706"/>
      <c r="G16" s="1706" t="s">
        <v>3208</v>
      </c>
      <c r="H16" s="1706"/>
      <c r="I16" s="1670" t="s">
        <v>1954</v>
      </c>
      <c r="J16" s="1678"/>
      <c r="K16" s="2420" t="str">
        <f>IF(D17="","",D16&amp;TEXT(D17,"yyyy年m月d日;;"))</f>
        <v>住宅2089年7月2日</v>
      </c>
      <c r="L16" s="1683" t="str">
        <f>IF(OR(K16="",M16=""),"","、")</f>
        <v>、</v>
      </c>
      <c r="M16" s="2420" t="str">
        <f>IF(E17="","",E16&amp;TEXT(E17,"yyyy年m月d日;;"))</f>
        <v>商业2059年7月2日</v>
      </c>
      <c r="N16" s="1683" t="str">
        <f>IF(OR(M16="",O16=""),"","、")</f>
        <v/>
      </c>
      <c r="O16" s="2420" t="str">
        <f>IF(F17="","",F16&amp;TEXT(F17,"yyyy年m月d日;;"))</f>
        <v/>
      </c>
      <c r="P16" s="1683" t="str">
        <f>IF(OR(O16="",Q16=""),"","、")</f>
        <v/>
      </c>
      <c r="Q16" s="2420" t="str">
        <f>IF(G17="","",G16&amp;TEXT(G17,"yyyy年m月d日;;"))</f>
        <v>车库2069年7月2日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69216</v>
      </c>
      <c r="E17" s="1684">
        <v>58258</v>
      </c>
      <c r="F17" s="1684"/>
      <c r="G17" s="1684">
        <v>61911</v>
      </c>
      <c r="H17" s="1684"/>
      <c r="I17" s="1684"/>
      <c r="J17" s="1678"/>
      <c r="K17" s="2419" t="str">
        <f>CONCATENATE(K16,L16,M16,N16,O16,P16,Q16,R16,S16,T16,,U16)</f>
        <v>住宅2089年7月2日、商业2059年7月2日车库2069年7月2日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f>IF(B16="出让",IF(G17="","",ROUNDDOWN(MIN((G17-$D$3)/365,G18),2)),G18)</f>
        <v>50</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93"/>
      <c r="E20" s="3294"/>
      <c r="F20" s="3294"/>
      <c r="G20" s="3294"/>
      <c r="H20" s="3294"/>
      <c r="I20" s="3295"/>
      <c r="J20" s="1678"/>
      <c r="K20" s="1758"/>
      <c r="L20" s="1707"/>
      <c r="M20" s="1707"/>
      <c r="N20" s="1678"/>
      <c r="O20" s="1679"/>
      <c r="P20" s="1678"/>
      <c r="Q20" s="1678"/>
      <c r="R20" s="1678"/>
      <c r="S20" s="1678"/>
      <c r="T20" s="1678"/>
      <c r="U20" s="1678"/>
    </row>
    <row r="21" spans="1:21">
      <c r="A21" s="1747" t="s">
        <v>1958</v>
      </c>
      <c r="B21" s="1748" t="s">
        <v>1959</v>
      </c>
      <c r="C21" s="1743">
        <f>'数据-汇总表'!E3</f>
        <v>245201.18990375422</v>
      </c>
      <c r="D21" s="1744" t="s">
        <v>1960</v>
      </c>
      <c r="E21" s="3283" t="s">
        <v>1998</v>
      </c>
      <c r="F21" s="3284"/>
      <c r="G21" s="3284"/>
      <c r="H21" s="3284"/>
      <c r="I21" s="3285"/>
      <c r="J21" s="1678"/>
      <c r="K21" s="1758"/>
      <c r="L21" s="1707"/>
      <c r="M21" s="1707"/>
      <c r="N21" s="1678"/>
      <c r="O21" s="1679"/>
      <c r="P21" s="1678"/>
      <c r="Q21" s="1678"/>
      <c r="R21" s="1678"/>
      <c r="S21" s="1678"/>
      <c r="T21" s="1678"/>
      <c r="U21" s="1678"/>
    </row>
    <row r="22" spans="1:21">
      <c r="A22" s="3097" t="s">
        <v>952</v>
      </c>
      <c r="B22" s="1645" t="s">
        <v>1961</v>
      </c>
      <c r="C22" s="1670">
        <f>'数据-汇总表'!D3</f>
        <v>38151.279999999999</v>
      </c>
      <c r="D22" s="1671" t="s">
        <v>1960</v>
      </c>
      <c r="E22" s="3283" t="s">
        <v>2890</v>
      </c>
      <c r="F22" s="3284"/>
      <c r="G22" s="3284"/>
      <c r="H22" s="3284"/>
      <c r="I22" s="3285"/>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6" t="s">
        <v>1966</v>
      </c>
      <c r="C24" s="3287"/>
      <c r="D24" s="3288" t="s">
        <v>1967</v>
      </c>
      <c r="E24" s="3289"/>
      <c r="F24" s="1692" t="s">
        <v>1968</v>
      </c>
      <c r="G24" s="1678"/>
      <c r="H24" s="1678"/>
      <c r="I24" s="1691"/>
      <c r="J24" s="1678"/>
      <c r="K24" s="327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7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7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60" t="s">
        <v>2001</v>
      </c>
      <c r="B31" s="1748" t="s">
        <v>2002</v>
      </c>
      <c r="C31" s="3299"/>
      <c r="D31" s="3300"/>
      <c r="E31" s="1678"/>
      <c r="F31" s="1678"/>
      <c r="G31" s="1678"/>
      <c r="H31" s="1678"/>
      <c r="I31" s="1691"/>
      <c r="J31" s="1678"/>
      <c r="K31" s="2422"/>
      <c r="L31" s="1678"/>
      <c r="M31" s="1678"/>
      <c r="N31" s="1678"/>
      <c r="O31" s="1678"/>
      <c r="P31" s="1678"/>
      <c r="Q31" s="1678"/>
      <c r="R31" s="1678"/>
      <c r="S31" s="1678"/>
      <c r="T31" s="1678"/>
      <c r="U31" s="1678"/>
    </row>
    <row r="32" spans="1:21">
      <c r="A32" s="326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1"/>
      <c r="B34" s="1645" t="s">
        <v>2005</v>
      </c>
      <c r="C34" s="3262"/>
      <c r="D34" s="3263"/>
      <c r="E34" s="1678"/>
      <c r="F34" s="1678"/>
      <c r="G34" s="1678"/>
      <c r="H34" s="1678"/>
      <c r="I34" s="1691"/>
      <c r="J34" s="1678"/>
      <c r="K34" s="2422"/>
      <c r="L34" s="1678"/>
      <c r="M34" s="1678"/>
      <c r="N34" s="1678"/>
      <c r="O34" s="1678"/>
      <c r="P34" s="1678"/>
      <c r="Q34" s="1678"/>
      <c r="R34" s="1678"/>
      <c r="S34" s="1678"/>
      <c r="T34" s="1678"/>
      <c r="U34" s="1678"/>
    </row>
    <row r="35" spans="1:21">
      <c r="A35" s="3264" t="s">
        <v>847</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2054</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31.2">
      <c r="A37" s="3260"/>
      <c r="B37" s="329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91"/>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61"/>
      <c r="B39" s="329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3" t="s">
        <v>1985</v>
      </c>
      <c r="T40" s="1715" t="str">
        <f>NUMBERSTRING(7-K40,1)&amp;"通"</f>
        <v>七通</v>
      </c>
      <c r="U40" s="1678"/>
    </row>
    <row r="41" spans="1:21">
      <c r="A41" s="1647"/>
      <c r="B41" s="3265" t="s">
        <v>1721</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2891</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K21" sqref="K20:K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38151.279999999999</v>
      </c>
      <c r="B3" s="22">
        <f>IF(C3="否",G5-AT5,G5)</f>
        <v>245201.18990375422</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245201.18990375422</v>
      </c>
      <c r="H5" s="27">
        <f t="shared" ref="H5:AT5" si="0">SUM(H13:H641)</f>
        <v>237163.33990375421</v>
      </c>
      <c r="I5" s="27">
        <f t="shared" si="0"/>
        <v>181084.41</v>
      </c>
      <c r="J5" s="27">
        <f t="shared" si="0"/>
        <v>0</v>
      </c>
      <c r="K5" s="27">
        <f t="shared" si="0"/>
        <v>4796.9399999999996</v>
      </c>
      <c r="L5" s="27">
        <f t="shared" si="0"/>
        <v>0</v>
      </c>
      <c r="M5" s="27">
        <f t="shared" si="0"/>
        <v>51281.989903754205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245201.18990375422</v>
      </c>
      <c r="BA5" s="29">
        <f t="shared" si="1"/>
        <v>237163.33990375421</v>
      </c>
      <c r="BB5" s="29">
        <f t="shared" si="1"/>
        <v>181084.41</v>
      </c>
      <c r="BC5" s="29">
        <f t="shared" si="1"/>
        <v>4796.9399999999996</v>
      </c>
      <c r="BD5" s="29">
        <f t="shared" si="1"/>
        <v>51281.989903754205</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3.2">
      <c r="A6" s="26" t="s">
        <v>169</v>
      </c>
      <c r="B6" s="31"/>
      <c r="C6" s="31"/>
      <c r="D6" s="32"/>
      <c r="E6" s="27">
        <f>H6+AC6+AT6</f>
        <v>38151.270000000004</v>
      </c>
      <c r="F6" s="27" t="s">
        <v>1</v>
      </c>
      <c r="G6" s="27" t="s">
        <v>2</v>
      </c>
      <c r="H6" s="33">
        <f>SUMIF(I$12:AB$12,"总值",I6:AB6)</f>
        <v>36900.65</v>
      </c>
      <c r="I6" s="27">
        <f t="shared" ref="I6:AB6" si="2">ROUND($A$3*I5/$B$3,2)</f>
        <v>28175.24</v>
      </c>
      <c r="J6" s="27">
        <f t="shared" si="2"/>
        <v>0</v>
      </c>
      <c r="K6" s="27">
        <f t="shared" si="2"/>
        <v>746.36</v>
      </c>
      <c r="L6" s="27">
        <f t="shared" si="2"/>
        <v>0</v>
      </c>
      <c r="M6" s="27">
        <f t="shared" si="2"/>
        <v>7979.05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1250.6200000000001</v>
      </c>
      <c r="AD6" s="27">
        <f t="shared" ref="AD6:AS6" si="3">ROUND($A$3*AD5/$B$3,2)</f>
        <v>385.42</v>
      </c>
      <c r="AE6" s="27">
        <f t="shared" si="3"/>
        <v>0</v>
      </c>
      <c r="AF6" s="27">
        <f t="shared" si="3"/>
        <v>0</v>
      </c>
      <c r="AG6" s="27">
        <f t="shared" si="3"/>
        <v>0</v>
      </c>
      <c r="AH6" s="27">
        <f t="shared" si="3"/>
        <v>88.12</v>
      </c>
      <c r="AI6" s="27">
        <f t="shared" si="3"/>
        <v>0</v>
      </c>
      <c r="AJ6" s="27">
        <f t="shared" si="3"/>
        <v>0</v>
      </c>
      <c r="AK6" s="27">
        <f t="shared" si="3"/>
        <v>0</v>
      </c>
      <c r="AL6" s="27">
        <f t="shared" si="3"/>
        <v>777.08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38151.279999999999</v>
      </c>
      <c r="AZ6" s="27" t="s">
        <v>3</v>
      </c>
      <c r="BA6" s="27">
        <f>ROUND($AY$6*BA5/$AZ$5,2)</f>
        <v>36900.660000000003</v>
      </c>
      <c r="BB6" s="27">
        <f>ROUND($AY$6*BB5/$AZ$5,2)</f>
        <v>28175.24</v>
      </c>
      <c r="BC6" s="27">
        <f t="shared" ref="BC6:BH6" si="4">ROUND($AY$6*BC5/$AZ$5,2)</f>
        <v>746.36</v>
      </c>
      <c r="BD6" s="27">
        <f t="shared" si="4"/>
        <v>7979.05</v>
      </c>
      <c r="BE6" s="27">
        <f t="shared" si="4"/>
        <v>0</v>
      </c>
      <c r="BF6" s="27">
        <f t="shared" si="4"/>
        <v>0</v>
      </c>
      <c r="BG6" s="27">
        <f t="shared" si="4"/>
        <v>0</v>
      </c>
      <c r="BH6" s="27">
        <f t="shared" si="4"/>
        <v>0</v>
      </c>
      <c r="BI6" s="27">
        <f t="shared" ref="BI6:BT6" si="5">ROUND($AY$6*BI5/$AZ$5,2)</f>
        <v>0</v>
      </c>
      <c r="BJ6" s="27">
        <f t="shared" si="5"/>
        <v>0</v>
      </c>
      <c r="BK6" s="27">
        <f t="shared" si="5"/>
        <v>0</v>
      </c>
      <c r="BL6" s="27">
        <f t="shared" si="5"/>
        <v>1250.6199999999999</v>
      </c>
      <c r="BM6" s="27">
        <f t="shared" si="5"/>
        <v>385.42</v>
      </c>
      <c r="BN6" s="27">
        <f t="shared" si="5"/>
        <v>0</v>
      </c>
      <c r="BO6" s="27">
        <f t="shared" si="5"/>
        <v>88.12</v>
      </c>
      <c r="BP6" s="27">
        <f t="shared" si="5"/>
        <v>0</v>
      </c>
      <c r="BQ6" s="27">
        <f t="shared" si="5"/>
        <v>777.08</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3003</v>
      </c>
      <c r="J9" s="51"/>
      <c r="K9" s="2971" t="s">
        <v>3003</v>
      </c>
      <c r="L9" s="51"/>
      <c r="M9" s="2971" t="s">
        <v>3209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923</v>
      </c>
      <c r="J10" s="51"/>
      <c r="K10" s="2973" t="s">
        <v>3000</v>
      </c>
      <c r="L10" s="51"/>
      <c r="M10" s="2973" t="s">
        <v>3208</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c r="D13" s="2967" t="s">
        <v>1678</v>
      </c>
      <c r="E13" s="27">
        <f t="shared" ref="E13:E20" si="6">IF($C$3="是",ROUND($A$3*G13/$B$3,2),ROUND($A$3*(G13-AT13)/$B$3,2))</f>
        <v>29422.400000000001</v>
      </c>
      <c r="F13" s="81"/>
      <c r="G13" s="82">
        <f t="shared" ref="G13:G20" si="7">H13+AC13+AT13</f>
        <v>189100</v>
      </c>
      <c r="H13" s="33">
        <f t="shared" ref="H13:H20" si="8">SUMIF(I$12:AB$12,"总值",I13:AB13)</f>
        <v>185881.35</v>
      </c>
      <c r="I13" s="2970">
        <f>145600.47+(189100-153616.06)</f>
        <v>181084.41</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29422.400000000001</v>
      </c>
      <c r="AZ13" s="27">
        <f t="shared" ref="AZ13:AZ20" si="12">BA13+BL13</f>
        <v>189100</v>
      </c>
      <c r="BA13" s="27">
        <f t="shared" ref="BA13:BA20" si="13">SUM(BB13:BK13)</f>
        <v>185881.35</v>
      </c>
      <c r="BB13" s="27">
        <f t="shared" ref="BB13:BB20" si="14">IF($D13="是",I13-J13,0)</f>
        <v>181084.41</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t="s">
        <v>1678</v>
      </c>
      <c r="E14" s="27">
        <f t="shared" si="6"/>
        <v>749.83</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749.83</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3.2">
      <c r="A15" s="2966"/>
      <c r="B15" s="2966"/>
      <c r="C15" s="2968"/>
      <c r="D15" s="2967" t="s">
        <v>1678</v>
      </c>
      <c r="E15" s="27">
        <f t="shared" si="6"/>
        <v>7979.05</v>
      </c>
      <c r="F15" s="81"/>
      <c r="G15" s="82">
        <f t="shared" si="7"/>
        <v>51281.989903754205</v>
      </c>
      <c r="H15" s="33">
        <f t="shared" si="8"/>
        <v>51281.989903754205</v>
      </c>
      <c r="I15" s="2970"/>
      <c r="J15" s="2970"/>
      <c r="K15" s="2970"/>
      <c r="L15" s="2970"/>
      <c r="M15" s="2970">
        <f>面积表!I5</f>
        <v>51281.989903754205</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7979.05</v>
      </c>
      <c r="AZ15" s="27">
        <f t="shared" si="12"/>
        <v>51281.989903754205</v>
      </c>
      <c r="BA15" s="27">
        <f t="shared" si="13"/>
        <v>51281.989903754205</v>
      </c>
      <c r="BB15" s="27">
        <f t="shared" si="14"/>
        <v>0</v>
      </c>
      <c r="BC15" s="27">
        <f t="shared" si="15"/>
        <v>0</v>
      </c>
      <c r="BD15" s="27">
        <f t="shared" si="16"/>
        <v>51281.989903754205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46.8">
      <c r="A3" s="3301"/>
      <c r="B3" s="3301"/>
      <c r="C3" s="3301"/>
      <c r="D3" s="3302"/>
      <c r="E3" s="330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I37" sqref="I37"/>
    </sheetView>
  </sheetViews>
  <sheetFormatPr defaultRowHeight="14.4"/>
  <sheetData>
    <row r="1" spans="1:10">
      <c r="A1" s="3204" t="s">
        <v>3167</v>
      </c>
      <c r="B1" s="3198" t="s">
        <v>3215</v>
      </c>
      <c r="C1" s="3200">
        <v>2</v>
      </c>
      <c r="D1" s="3200">
        <v>3</v>
      </c>
      <c r="E1" s="3198">
        <v>4</v>
      </c>
      <c r="F1" s="3198" t="s">
        <v>3010</v>
      </c>
      <c r="G1" s="3223" t="s">
        <v>3009</v>
      </c>
      <c r="H1" s="3202"/>
      <c r="I1" s="3222" t="s">
        <v>3214</v>
      </c>
      <c r="J1" s="3222" t="s">
        <v>3221</v>
      </c>
    </row>
    <row r="2" spans="1:10">
      <c r="A2" s="3198" t="s">
        <v>3004</v>
      </c>
      <c r="B2" s="3200">
        <f>145600.47+(189100-153616.06)</f>
        <v>181084.41</v>
      </c>
      <c r="C2" s="3200"/>
      <c r="D2" s="3200"/>
      <c r="E2" s="3200"/>
      <c r="F2" s="3200">
        <f>B2</f>
        <v>181084.41</v>
      </c>
      <c r="G2" s="3202"/>
      <c r="H2" s="3202"/>
      <c r="J2" s="3222">
        <f>189100-153616.06</f>
        <v>35483.94</v>
      </c>
    </row>
    <row r="3" spans="1:10">
      <c r="A3" s="3200"/>
      <c r="B3" s="3200"/>
      <c r="C3" s="3200"/>
      <c r="D3" s="3200"/>
      <c r="E3" s="3200"/>
      <c r="F3" s="3200"/>
      <c r="G3" s="3202"/>
      <c r="H3" s="3202"/>
    </row>
    <row r="4" spans="1:10">
      <c r="A4" s="3198" t="s">
        <v>3005</v>
      </c>
      <c r="B4" s="3200">
        <v>4796.9399999999996</v>
      </c>
      <c r="C4" s="3200"/>
      <c r="D4" s="3200"/>
      <c r="E4" s="3198"/>
      <c r="F4" s="3200">
        <f>B4</f>
        <v>4796.9399999999996</v>
      </c>
      <c r="G4" s="3202"/>
      <c r="H4" s="3202"/>
    </row>
    <row r="5" spans="1:10" s="3221" customFormat="1">
      <c r="A5" s="3219" t="s">
        <v>3213</v>
      </c>
      <c r="B5" s="3220"/>
      <c r="C5" s="3220"/>
      <c r="D5" s="3220"/>
      <c r="E5" s="3219"/>
      <c r="F5" s="3220"/>
      <c r="G5" s="3220"/>
      <c r="H5" s="3220"/>
      <c r="I5" s="3221">
        <f>H8</f>
        <v>51281.989903754205</v>
      </c>
    </row>
    <row r="6" spans="1:10">
      <c r="A6" s="3198" t="s">
        <v>3006</v>
      </c>
      <c r="B6" s="3200">
        <v>566.37</v>
      </c>
      <c r="C6" s="3200"/>
      <c r="D6" s="3200"/>
      <c r="E6" s="3200"/>
      <c r="F6" s="3200">
        <f>B6</f>
        <v>566.37</v>
      </c>
      <c r="G6" s="3202"/>
      <c r="H6" s="3202"/>
    </row>
    <row r="7" spans="1:10">
      <c r="A7" s="3198" t="s">
        <v>3007</v>
      </c>
      <c r="B7" s="3200">
        <v>120.22</v>
      </c>
      <c r="C7" s="3200">
        <v>354.64</v>
      </c>
      <c r="D7" s="3200">
        <v>1998.37</v>
      </c>
      <c r="E7" s="3200">
        <v>3.88</v>
      </c>
      <c r="F7" s="3200">
        <f>B7+C7+D7+E7</f>
        <v>2477.11</v>
      </c>
      <c r="G7" s="3202"/>
      <c r="H7" s="3202"/>
    </row>
    <row r="8" spans="1:10" s="3199" customFormat="1">
      <c r="A8" s="3198" t="s">
        <v>3008</v>
      </c>
      <c r="B8" s="3200">
        <v>126.87</v>
      </c>
      <c r="C8" s="3200">
        <v>48.3</v>
      </c>
      <c r="D8" s="3200"/>
      <c r="E8" s="3200"/>
      <c r="F8" s="3200">
        <f>B8+C8+D8</f>
        <v>175.17000000000002</v>
      </c>
      <c r="G8" s="3200">
        <v>4819.2</v>
      </c>
      <c r="H8" s="3200">
        <f>(73022.75-7275.25-10234.99)*(153616.06+189100-153616.06)/(153616.06+51083.79)</f>
        <v>51281.989903754205</v>
      </c>
    </row>
    <row r="9" spans="1:10" s="3203" customFormat="1">
      <c r="A9" s="3204" t="s">
        <v>3168</v>
      </c>
      <c r="B9" s="3205"/>
      <c r="C9" s="3205"/>
      <c r="D9" s="3205"/>
      <c r="E9" s="3205"/>
      <c r="F9" s="3205">
        <f>SUM(F2:F8)</f>
        <v>189100</v>
      </c>
      <c r="G9" s="3205">
        <f>G8+H8</f>
        <v>56101.189903754203</v>
      </c>
      <c r="H9" s="3205"/>
      <c r="J9" s="3203">
        <f>J2</f>
        <v>35483.94</v>
      </c>
    </row>
    <row r="10" spans="1:10" s="3203" customFormat="1">
      <c r="A10" s="3204" t="s">
        <v>3169</v>
      </c>
      <c r="B10" s="3205"/>
      <c r="C10" s="3205"/>
      <c r="D10" s="3205"/>
      <c r="E10" s="3205"/>
      <c r="F10" s="3205">
        <f>F2+F4</f>
        <v>185881.35</v>
      </c>
      <c r="G10" s="3205"/>
      <c r="H10" s="3205"/>
    </row>
    <row r="11" spans="1:10" s="3203" customFormat="1">
      <c r="A11" s="3204" t="s">
        <v>3170</v>
      </c>
      <c r="B11" s="3205"/>
      <c r="C11" s="3205"/>
      <c r="D11" s="3205"/>
      <c r="E11" s="3205"/>
      <c r="F11" s="3205">
        <f>F6+F7+F8</f>
        <v>3218.65</v>
      </c>
      <c r="G11" s="3205"/>
      <c r="H11" s="3205"/>
    </row>
    <row r="12" spans="1:10">
      <c r="G12" s="3201"/>
      <c r="H12" s="3201"/>
    </row>
    <row r="13" spans="1:10">
      <c r="G13" s="3201"/>
      <c r="H13" s="3201"/>
    </row>
    <row r="14" spans="1:10">
      <c r="G14" s="3201"/>
      <c r="H14" s="3201"/>
    </row>
    <row r="15" spans="1:10">
      <c r="G15" s="3201"/>
      <c r="H15" s="3201"/>
    </row>
    <row r="16" spans="1:10">
      <c r="G16" s="3201"/>
      <c r="H16" s="3201"/>
    </row>
    <row r="17" spans="1:9">
      <c r="A17" s="3204" t="s">
        <v>3171</v>
      </c>
      <c r="B17" s="3198" t="s">
        <v>3216</v>
      </c>
      <c r="C17" s="3200">
        <v>2</v>
      </c>
      <c r="D17" s="3198" t="s">
        <v>3217</v>
      </c>
      <c r="E17" s="3206"/>
      <c r="F17" s="3206"/>
      <c r="G17" s="3223" t="s">
        <v>3177</v>
      </c>
      <c r="H17" s="3202"/>
      <c r="I17" s="3222" t="s">
        <v>3218</v>
      </c>
    </row>
    <row r="18" spans="1:9">
      <c r="A18" s="3198" t="s">
        <v>3172</v>
      </c>
      <c r="B18" s="3200">
        <f>50780.87-(189100-153616.06)</f>
        <v>15296.93</v>
      </c>
      <c r="C18" s="3200"/>
      <c r="D18" s="3200">
        <f>B18</f>
        <v>15296.93</v>
      </c>
      <c r="E18" s="3206"/>
      <c r="F18" s="3206"/>
      <c r="G18" s="3202"/>
      <c r="H18" s="3202"/>
    </row>
    <row r="19" spans="1:9">
      <c r="A19" s="3198" t="s">
        <v>3173</v>
      </c>
      <c r="B19" s="3200">
        <v>0</v>
      </c>
      <c r="C19" s="3200"/>
      <c r="D19" s="3200"/>
      <c r="E19" s="3206"/>
      <c r="F19" s="3206"/>
      <c r="G19" s="3202"/>
      <c r="H19" s="3202"/>
    </row>
    <row r="20" spans="1:9" s="3226" customFormat="1">
      <c r="A20" s="3224" t="s">
        <v>3213</v>
      </c>
      <c r="B20" s="3225"/>
      <c r="C20" s="3225"/>
      <c r="D20" s="3225"/>
      <c r="E20" s="3225"/>
      <c r="F20" s="3225"/>
      <c r="G20" s="3225"/>
      <c r="H20" s="3225"/>
      <c r="I20" s="3226">
        <f>55512.51-I5</f>
        <v>4230.5200962457966</v>
      </c>
    </row>
    <row r="21" spans="1:9">
      <c r="A21" s="3198" t="s">
        <v>3174</v>
      </c>
      <c r="B21" s="3200">
        <v>235.25</v>
      </c>
      <c r="C21" s="3200">
        <v>3.88</v>
      </c>
      <c r="D21" s="3200">
        <f>C21+B21</f>
        <v>239.13</v>
      </c>
      <c r="E21" s="3206"/>
      <c r="F21" s="3206"/>
      <c r="G21" s="3202"/>
      <c r="H21" s="3202"/>
    </row>
    <row r="22" spans="1:9">
      <c r="A22" s="3198" t="s">
        <v>3175</v>
      </c>
      <c r="B22" s="3200"/>
      <c r="C22" s="3200"/>
      <c r="D22" s="3200">
        <v>0</v>
      </c>
      <c r="E22" s="3206"/>
      <c r="F22" s="3206"/>
      <c r="G22" s="3202"/>
      <c r="H22" s="3202"/>
    </row>
    <row r="23" spans="1:9" s="3199" customFormat="1">
      <c r="A23" s="3198" t="s">
        <v>3176</v>
      </c>
      <c r="B23" s="3200">
        <v>63.79</v>
      </c>
      <c r="C23" s="3200"/>
      <c r="D23" s="3200">
        <f>B23</f>
        <v>63.79</v>
      </c>
      <c r="E23" s="3200"/>
      <c r="F23" s="3200"/>
      <c r="G23" s="3200">
        <v>2456.0500000000002</v>
      </c>
      <c r="H23" s="3200">
        <f>(73022.75-7275.25-10234.99)*(51083.79-(189100-153616.06))/(153616.06+51083.79)</f>
        <v>4230.5200962457957</v>
      </c>
    </row>
    <row r="24" spans="1:9" s="3203" customFormat="1">
      <c r="A24" s="3204" t="s">
        <v>3168</v>
      </c>
      <c r="B24" s="3205">
        <v>51083.79</v>
      </c>
      <c r="C24" s="3205"/>
      <c r="D24" s="3205"/>
      <c r="E24" s="3205"/>
      <c r="F24" s="3205"/>
      <c r="G24" s="3205">
        <f>G23+H23</f>
        <v>6686.5700962457959</v>
      </c>
      <c r="H24" s="3205"/>
    </row>
    <row r="25" spans="1:9" s="3203" customFormat="1">
      <c r="A25" s="3204" t="s">
        <v>3169</v>
      </c>
      <c r="B25" s="3205">
        <f>B18</f>
        <v>15296.93</v>
      </c>
      <c r="C25" s="3205"/>
      <c r="D25" s="3205"/>
      <c r="E25" s="3205"/>
      <c r="F25" s="3205"/>
      <c r="G25" s="3205"/>
      <c r="H25" s="3205"/>
    </row>
    <row r="26" spans="1:9" s="3203" customFormat="1">
      <c r="A26" s="3204" t="s">
        <v>3170</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8" width="11.6640625" style="1970" customWidth="1"/>
    <col min="19" max="16384" width="9.21875" style="1970"/>
  </cols>
  <sheetData>
    <row r="1" spans="1:16" ht="17.399999999999999">
      <c r="A1" s="104" t="s">
        <v>202</v>
      </c>
      <c r="B1" s="1969"/>
      <c r="C1" s="1969"/>
      <c r="D1" s="1969"/>
      <c r="E1" s="1969"/>
      <c r="F1" s="1969"/>
      <c r="G1" s="1969"/>
      <c r="H1" s="1969"/>
      <c r="I1" s="1969"/>
      <c r="J1" s="1969"/>
      <c r="K1" s="1969"/>
      <c r="L1" s="1969"/>
    </row>
    <row r="2" spans="1:16" ht="14.4">
      <c r="A2" s="3312" t="s">
        <v>203</v>
      </c>
      <c r="B2" s="3312"/>
      <c r="C2" s="3312"/>
      <c r="D2" s="1960" t="s">
        <v>204</v>
      </c>
      <c r="E2" s="106" t="s">
        <v>205</v>
      </c>
      <c r="F2" s="1969"/>
      <c r="G2" s="1194"/>
      <c r="H2" s="1195"/>
      <c r="I2" s="1196" t="s">
        <v>857</v>
      </c>
      <c r="J2" s="1969"/>
      <c r="K2" s="1969"/>
      <c r="L2" s="1969"/>
    </row>
    <row r="3" spans="1:16" ht="15" thickBot="1">
      <c r="A3" s="3313" t="s">
        <v>206</v>
      </c>
      <c r="B3" s="3313"/>
      <c r="C3" s="3313"/>
      <c r="D3" s="107">
        <f>'数据-基础表'!AY6</f>
        <v>38151.279999999999</v>
      </c>
      <c r="E3" s="107">
        <f>'数据-基础表'!AZ5</f>
        <v>245201.18990375422</v>
      </c>
      <c r="F3" s="1969"/>
      <c r="G3" s="280" t="s">
        <v>858</v>
      </c>
      <c r="H3" s="275" t="s">
        <v>859</v>
      </c>
      <c r="I3" s="1961">
        <f>ROUND('数据-基础表'!B3/'数据-基础表'!A3,2)</f>
        <v>6.43</v>
      </c>
      <c r="J3" s="1969"/>
      <c r="K3" s="1969"/>
      <c r="L3" s="1969"/>
    </row>
    <row r="4" spans="1:16" ht="14.4">
      <c r="A4" s="3314"/>
      <c r="B4" s="3315"/>
      <c r="C4" s="3316"/>
      <c r="D4" s="108" t="s">
        <v>204</v>
      </c>
      <c r="E4" s="109" t="s">
        <v>205</v>
      </c>
      <c r="F4" s="1969"/>
      <c r="G4" s="1197"/>
      <c r="H4" s="275" t="s">
        <v>860</v>
      </c>
      <c r="I4" s="1961">
        <f>ROUND(SUMIF('数据-基础表'!I9:AS9,"地上",'数据-基础表'!I5:AS5)/'数据-基础表'!A3,2)</f>
        <v>5.08</v>
      </c>
      <c r="J4" s="1969"/>
      <c r="K4" s="1969"/>
      <c r="L4" s="1969"/>
    </row>
    <row r="5" spans="1:16" ht="14.4">
      <c r="A5" s="110" t="s">
        <v>207</v>
      </c>
      <c r="B5" s="3317" t="s">
        <v>230</v>
      </c>
      <c r="C5" s="3317"/>
      <c r="D5" s="111">
        <f>ROUND($D$3*E5/$E$3,2)</f>
        <v>28175.24</v>
      </c>
      <c r="E5" s="112">
        <f>SUMIF('数据-基础表'!$11:$11,"住宅",'数据-基础表'!$5:$5)</f>
        <v>181084.41</v>
      </c>
      <c r="F5" s="1969"/>
      <c r="G5" s="280" t="s">
        <v>861</v>
      </c>
      <c r="H5" s="275" t="s">
        <v>859</v>
      </c>
      <c r="I5" s="1961">
        <f>ROUND(E31/D31,2)</f>
        <v>6.22</v>
      </c>
      <c r="J5" s="1969"/>
      <c r="K5" s="1969"/>
      <c r="L5" s="1969"/>
    </row>
    <row r="6" spans="1:16" ht="15" thickBot="1">
      <c r="A6" s="113"/>
      <c r="B6" s="3317" t="s">
        <v>208</v>
      </c>
      <c r="C6" s="3317"/>
      <c r="D6" s="111">
        <f>ROUND($D$3*E6/$E$3,2)</f>
        <v>9976.0400000000009</v>
      </c>
      <c r="E6" s="112">
        <f>E3-E5</f>
        <v>64116.779903754214</v>
      </c>
      <c r="F6" s="1969"/>
      <c r="G6" s="1197"/>
      <c r="H6" s="275" t="s">
        <v>860</v>
      </c>
      <c r="I6" s="1961">
        <f>ROUND(F31/D31,2)</f>
        <v>4.92</v>
      </c>
      <c r="J6" s="1969"/>
      <c r="K6" s="1969"/>
      <c r="L6" s="1969"/>
    </row>
    <row r="7" spans="1:16" ht="14.4">
      <c r="A7" s="3309"/>
      <c r="B7" s="3310"/>
      <c r="C7" s="3311"/>
      <c r="D7" s="108" t="s">
        <v>204</v>
      </c>
      <c r="E7" s="114" t="s">
        <v>231</v>
      </c>
      <c r="F7" s="1969"/>
      <c r="G7" s="1152" t="s">
        <v>1645</v>
      </c>
      <c r="H7" s="1153"/>
      <c r="I7" s="1831">
        <v>4</v>
      </c>
      <c r="J7" s="1969"/>
      <c r="K7" s="1969"/>
      <c r="L7" s="1969"/>
    </row>
    <row r="8" spans="1:16" ht="14.4">
      <c r="A8" s="110" t="s">
        <v>209</v>
      </c>
      <c r="B8" s="115" t="s">
        <v>210</v>
      </c>
      <c r="C8" s="111" t="s">
        <v>211</v>
      </c>
      <c r="D8" s="111">
        <f t="shared" ref="D8:D15" si="0">ROUND($D$3*E8/$E$3,2)</f>
        <v>28921.599999999999</v>
      </c>
      <c r="E8" s="116">
        <f>SUMIF('数据-基础表'!BB10:BK10,"地上",'数据-基础表'!BB5:BK5)</f>
        <v>185881.35</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7979.05</v>
      </c>
      <c r="E13" s="116">
        <f>SUMPRODUCT(('数据-基础表'!BB10:BK10="地下")*('数据-基础表'!BB11:BK11="车库")*('数据-基础表'!BB5:BK5))</f>
        <v>51281.989903754205</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36900.65</v>
      </c>
      <c r="E16" s="120">
        <f>SUM(E8:E15)</f>
        <v>237163.33990375421</v>
      </c>
      <c r="F16" s="1969"/>
      <c r="G16" s="1971"/>
      <c r="H16" s="968" t="s">
        <v>219</v>
      </c>
      <c r="I16" s="969"/>
      <c r="J16" s="1969"/>
      <c r="K16" s="3303" t="s">
        <v>2565</v>
      </c>
      <c r="L16" s="3304"/>
      <c r="M16" s="3304"/>
      <c r="N16" s="3304"/>
      <c r="O16" s="3304"/>
      <c r="P16" s="3305"/>
    </row>
    <row r="17" spans="1:19" ht="14.4">
      <c r="A17" s="121" t="s">
        <v>216</v>
      </c>
      <c r="B17" s="122" t="s">
        <v>217</v>
      </c>
      <c r="C17" s="2283" t="s">
        <v>2313</v>
      </c>
      <c r="D17" s="108" t="s">
        <v>204</v>
      </c>
      <c r="E17" s="124" t="s">
        <v>205</v>
      </c>
      <c r="F17" s="125"/>
      <c r="G17" s="1362"/>
      <c r="H17" s="970" t="s">
        <v>218</v>
      </c>
      <c r="I17" s="971" t="s">
        <v>2312</v>
      </c>
      <c r="J17" s="1969"/>
      <c r="K17" s="3306" t="s">
        <v>2566</v>
      </c>
      <c r="L17" s="3307"/>
      <c r="M17" s="3308"/>
      <c r="N17" s="3306" t="s">
        <v>2567</v>
      </c>
      <c r="O17" s="3307"/>
      <c r="P17" s="3308"/>
      <c r="R17" s="2284" t="s">
        <v>2311</v>
      </c>
      <c r="S17" s="144"/>
    </row>
    <row r="18" spans="1:19" ht="14.4">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2309</v>
      </c>
      <c r="S18" s="2285" t="s">
        <v>2310</v>
      </c>
    </row>
    <row r="19" spans="1:19" ht="14.4">
      <c r="A19" s="133"/>
      <c r="B19" s="115" t="s">
        <v>225</v>
      </c>
      <c r="C19" s="2977" t="s">
        <v>3011</v>
      </c>
      <c r="D19" s="3227">
        <f>ROUND($D$3*E19/E8,2)</f>
        <v>37166.730000000003</v>
      </c>
      <c r="E19" s="134">
        <f t="shared" ref="E19:E26" si="1">SUM(F19:G19)</f>
        <v>181084.41</v>
      </c>
      <c r="F19" s="135">
        <f>'数据-基础表'!I13</f>
        <v>181084.41</v>
      </c>
      <c r="G19" s="1364"/>
      <c r="H19" s="3228">
        <v>0</v>
      </c>
      <c r="I19" s="116">
        <f>IF($I$17="自定义",P19,M19)</f>
        <v>6856.9</v>
      </c>
      <c r="J19" s="1969"/>
      <c r="K19" s="2572">
        <f t="shared" ref="K19:K26" si="2">ROUND(E$28*E19/E$27,2)</f>
        <v>3813.42</v>
      </c>
      <c r="L19" s="275">
        <f t="shared" ref="L19:L26" si="3">ROUND(IF(COUNTIF(C19,"*住宅*")&gt;0,E$29*E19/E$32,0),2)</f>
        <v>3043.48</v>
      </c>
      <c r="M19" s="2573">
        <f>K19+L19</f>
        <v>6856.9</v>
      </c>
      <c r="N19" s="2574"/>
      <c r="O19" s="2575"/>
      <c r="P19" s="2576">
        <f>N19+O19</f>
        <v>0</v>
      </c>
      <c r="R19" s="275">
        <f t="shared" ref="R19:S26" si="4">D19+H19</f>
        <v>37166.730000000003</v>
      </c>
      <c r="S19" s="2286">
        <f t="shared" si="4"/>
        <v>187941.31</v>
      </c>
    </row>
    <row r="20" spans="1:19" ht="14.4">
      <c r="A20" s="138"/>
      <c r="B20" s="115" t="s">
        <v>226</v>
      </c>
      <c r="C20" s="2977" t="s">
        <v>3012</v>
      </c>
      <c r="D20" s="3227">
        <f>ROUND($D$3*E20/E8,2)</f>
        <v>984.55</v>
      </c>
      <c r="E20" s="134">
        <f t="shared" si="1"/>
        <v>4796.9399999999996</v>
      </c>
      <c r="F20" s="135">
        <f>'数据-基础表'!K13</f>
        <v>4796.9399999999996</v>
      </c>
      <c r="G20" s="1364"/>
      <c r="H20" s="3228">
        <v>0</v>
      </c>
      <c r="I20" s="116">
        <f t="shared" ref="I20:I26" si="5">IF($I$17="自定义",P20,M20)</f>
        <v>101.02</v>
      </c>
      <c r="J20" s="1969"/>
      <c r="K20" s="2572">
        <f t="shared" si="2"/>
        <v>101.02</v>
      </c>
      <c r="L20" s="275">
        <f t="shared" si="3"/>
        <v>0</v>
      </c>
      <c r="M20" s="2573">
        <f t="shared" ref="M20:M26" si="6">K20+L20</f>
        <v>101.02</v>
      </c>
      <c r="N20" s="2574"/>
      <c r="O20" s="2575"/>
      <c r="P20" s="2576">
        <f t="shared" ref="P20:P26" si="7">N20+O20</f>
        <v>0</v>
      </c>
      <c r="R20" s="275">
        <f t="shared" si="4"/>
        <v>984.55</v>
      </c>
      <c r="S20" s="2286">
        <f t="shared" si="4"/>
        <v>4897.96</v>
      </c>
    </row>
    <row r="21" spans="1:19" ht="14.4">
      <c r="A21" s="138"/>
      <c r="B21" s="115" t="s">
        <v>226</v>
      </c>
      <c r="C21" s="2977" t="s">
        <v>3210</v>
      </c>
      <c r="D21" s="111">
        <v>0</v>
      </c>
      <c r="E21" s="134">
        <f t="shared" si="1"/>
        <v>51281.989903754205</v>
      </c>
      <c r="F21" s="135"/>
      <c r="G21" s="1364">
        <f>'数据-基础表'!M15</f>
        <v>51281.989903754205</v>
      </c>
      <c r="H21" s="3228">
        <v>0</v>
      </c>
      <c r="I21" s="116">
        <f t="shared" si="5"/>
        <v>1079.94</v>
      </c>
      <c r="J21" s="1969"/>
      <c r="K21" s="2572">
        <f t="shared" si="2"/>
        <v>1079.94</v>
      </c>
      <c r="L21" s="275">
        <f t="shared" si="3"/>
        <v>0</v>
      </c>
      <c r="M21" s="2573">
        <f t="shared" si="6"/>
        <v>1079.94</v>
      </c>
      <c r="N21" s="2574"/>
      <c r="O21" s="2575"/>
      <c r="P21" s="2576">
        <f t="shared" si="7"/>
        <v>0</v>
      </c>
      <c r="R21" s="275">
        <f t="shared" si="4"/>
        <v>0</v>
      </c>
      <c r="S21" s="2286">
        <f t="shared" si="4"/>
        <v>52361.929903754208</v>
      </c>
    </row>
    <row r="22" spans="1:19" ht="14.4">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ht="14.4">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ht="14.4">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ht="14.4">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ht="14.4">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 thickBot="1">
      <c r="A27" s="138"/>
      <c r="B27" s="111"/>
      <c r="C27" s="127" t="s">
        <v>215</v>
      </c>
      <c r="D27" s="134">
        <f>SUM(D19:D26)</f>
        <v>38151.280000000006</v>
      </c>
      <c r="E27" s="143">
        <f>IF(SUM(E19:E26)='数据-基础表'!BA5,SUM(E19:E26),IF(F27="地上面积有误","面积有误","地下面积有误"))</f>
        <v>237163.33990375421</v>
      </c>
      <c r="F27" s="134">
        <f>IF(SUM(F19:F26)=E8,SUM(F19:F26),"地上面积有误")</f>
        <v>185881.35</v>
      </c>
      <c r="G27" s="112">
        <f>SUM(G19:G26)</f>
        <v>51281.989903754205</v>
      </c>
      <c r="H27" s="975">
        <f>SUM(H19:H26)</f>
        <v>0</v>
      </c>
      <c r="I27" s="976">
        <f>SUM(I19:I26)</f>
        <v>8037.8600000000006</v>
      </c>
      <c r="J27" s="1969"/>
      <c r="K27" s="2581">
        <f>SUM(K19:K26)</f>
        <v>4994.38</v>
      </c>
      <c r="L27" s="2582">
        <f>SUM(L19:L26)</f>
        <v>3043.48</v>
      </c>
      <c r="M27" s="2583">
        <f>SUM(M19:M26)</f>
        <v>8037.8600000000006</v>
      </c>
      <c r="N27" s="2581">
        <f t="shared" ref="N27:O27" si="10">SUM(N19:N26)</f>
        <v>0</v>
      </c>
      <c r="O27" s="2582">
        <f t="shared" si="10"/>
        <v>0</v>
      </c>
      <c r="P27" s="2584">
        <f>SUM(P19:P26)</f>
        <v>0</v>
      </c>
      <c r="R27" s="2290">
        <f>IF(SUM(R19:R26)=$D$3,SUM(R19:R26),SUM(R19:R26)&amp;"误差"&amp;ROUND(SUM(R19:R26)-$D$3,2))</f>
        <v>38151.280000000006</v>
      </c>
      <c r="S27" s="275" t="str">
        <f>IF(SUM(S19:S26)=$E$3,SUM(S19:S26),SUM(S19:S26)&amp;"误差"&amp;ROUND(SUM(S19:S26)-E3,2))</f>
        <v>245201.199903754误差0.01</v>
      </c>
    </row>
    <row r="28" spans="1:19" ht="14.4">
      <c r="A28" s="138"/>
      <c r="B28" s="115" t="s">
        <v>227</v>
      </c>
      <c r="C28" s="136" t="s">
        <v>228</v>
      </c>
      <c r="D28" s="111">
        <f>ROUND($D$3*E28/$E$3,2)</f>
        <v>777.08</v>
      </c>
      <c r="E28" s="134">
        <f>SUM(F28:G28)</f>
        <v>4994.37</v>
      </c>
      <c r="F28" s="144">
        <f>'数据-基础表'!BQ5+'数据-基础表'!BS5</f>
        <v>4994.37</v>
      </c>
      <c r="G28" s="145">
        <f>'数据-基础表'!BR5+'数据-基础表'!BT5</f>
        <v>0</v>
      </c>
      <c r="H28" s="1969"/>
      <c r="I28" s="1969"/>
      <c r="J28" s="1969"/>
      <c r="K28" s="1969"/>
      <c r="L28" s="1969"/>
    </row>
    <row r="29" spans="1:19" ht="14.4">
      <c r="A29" s="138"/>
      <c r="B29" s="115" t="s">
        <v>227</v>
      </c>
      <c r="C29" s="2298" t="s">
        <v>2320</v>
      </c>
      <c r="D29" s="111">
        <f>ROUND($D$3*E29/$E$3,2)</f>
        <v>473.54</v>
      </c>
      <c r="E29" s="134">
        <f>SUM(F29:G29)</f>
        <v>3043.48</v>
      </c>
      <c r="F29" s="144">
        <f>'数据-基础表'!BM5+'数据-基础表'!BO5</f>
        <v>3043.48</v>
      </c>
      <c r="G29" s="146">
        <f>'数据-基础表'!BN5+'数据-基础表'!BP5</f>
        <v>0</v>
      </c>
      <c r="H29" s="1969"/>
      <c r="I29" s="1969"/>
      <c r="J29" s="1969"/>
      <c r="K29" s="1969"/>
      <c r="L29" s="1969"/>
    </row>
    <row r="30" spans="1:19" ht="14.4">
      <c r="A30" s="138"/>
      <c r="B30" s="111"/>
      <c r="C30" s="147" t="s">
        <v>215</v>
      </c>
      <c r="D30" s="134">
        <f>SUM(D28:D29)</f>
        <v>1250.6200000000001</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39401.900000000009</v>
      </c>
      <c r="E31" s="1368">
        <f>E27+E30</f>
        <v>245201.18990375422</v>
      </c>
      <c r="F31" s="1369">
        <f>F27+F30</f>
        <v>193919.2</v>
      </c>
      <c r="G31" s="1370">
        <f>G27+G30</f>
        <v>51281.989903754205</v>
      </c>
      <c r="H31" s="1969"/>
      <c r="I31" s="1969"/>
      <c r="J31" s="1969"/>
      <c r="K31" s="1969"/>
      <c r="L31" s="1969"/>
    </row>
    <row r="32" spans="1:19" ht="14.4">
      <c r="A32" s="1969"/>
      <c r="B32" s="2327" t="s">
        <v>2321</v>
      </c>
      <c r="C32" s="2611"/>
      <c r="D32" s="1197"/>
      <c r="E32" s="1197">
        <f>SUMIF(C19:C26,"*住宅*",E19:E26)</f>
        <v>181084.41</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3" sqref="N23"/>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43657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923</v>
      </c>
      <c r="D6" s="2293">
        <f>SUMIF(项目基本情况!D$15:I$15,C6,项目基本情况!D$18:I$18)</f>
        <v>70</v>
      </c>
      <c r="E6" s="2294">
        <f>IF(B6="","",SUMIF(项目基本情况!D$15:I$15,C6,项目基本情况!D$17:I$17))</f>
        <v>69216</v>
      </c>
      <c r="F6" s="174">
        <f>SUMIF(项目基本情况!D$15:I$15,C6,项目基本情况!D$19:I$19)</f>
        <v>70</v>
      </c>
      <c r="G6" s="175">
        <f>IF(ISERROR(ROUND(POWER(1+H6,D6-F6)*(POWER(1+H6,F6)-1)/(POWER(1+H6,D6)-1),3)),0,ROUND(POWER(1+H6,D6-F6)*(POWER(1+H6,F6)-1)/(POWER(1+H6,D6)-1),3))</f>
        <v>1</v>
      </c>
      <c r="H6" s="2978">
        <v>0.04</v>
      </c>
      <c r="I6" s="2978">
        <v>4.4999999999999998E-2</v>
      </c>
      <c r="J6" s="176">
        <v>0.08</v>
      </c>
      <c r="K6" s="179">
        <f>SUMIF('数据-汇总表'!C$19:C$33,'数据-取费表'!A6,'数据-汇总表'!E$19:E$33)</f>
        <v>181084.41</v>
      </c>
      <c r="L6" s="2979">
        <v>2300</v>
      </c>
      <c r="M6" s="177">
        <f t="shared" ref="M6:M14" si="0">ROUND(K6*L6/10000,0)</f>
        <v>41649</v>
      </c>
      <c r="N6" s="2980">
        <v>0</v>
      </c>
      <c r="O6" s="177">
        <f>IF($N$5="成新度","——",ROUND(M6*N6,0))</f>
        <v>0</v>
      </c>
      <c r="P6" s="178">
        <f>IF($N$5="成新度","——",M6-O6)</f>
        <v>41649</v>
      </c>
      <c r="Q6" s="2981">
        <v>0.2</v>
      </c>
      <c r="R6" s="179">
        <f>SUMIF('数据-汇总表'!C$19:C$33,A6,'数据-汇总表'!R$19:R$33)</f>
        <v>37166.730000000003</v>
      </c>
      <c r="S6" s="132">
        <f>IF('数据-汇总表'!$I$17="按面积比例",SUMIF('数据-汇总表'!C$19:C$33,A6,'数据-汇总表'!K$19:K$33),SUMIF('数据-汇总表'!C$19:C$33,A6,'数据-汇总表'!N$19:N$33))</f>
        <v>3813.42</v>
      </c>
      <c r="T6" s="2219">
        <f>IF($T$4="按面积比例",IF(ISERROR(ROUND($M$14*S6/S$16,0)),"0",ROUND($M$14*S6/S$16,0)),"需自行计算录入")</f>
        <v>801</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3015</v>
      </c>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3000</v>
      </c>
      <c r="D7" s="2293">
        <f>SUMIF(项目基本情况!D$15:I$15,C7,项目基本情况!D$18:I$18)</f>
        <v>40</v>
      </c>
      <c r="E7" s="2294">
        <f>IF(B7="","",SUMIF(项目基本情况!D$15:I$15,C7,项目基本情况!D$17:I$17))</f>
        <v>58258</v>
      </c>
      <c r="F7" s="174">
        <f>SUMIF(项目基本情况!D$15:I$15,C7,项目基本情况!D$19:I$19)</f>
        <v>40</v>
      </c>
      <c r="G7" s="175">
        <f t="shared" ref="G7:G11" si="2">IF(ISERROR(ROUND(POWER(1+H7,D7-F7)*(POWER(1+H7,F7)-1)/(POWER(1+H7,D7)-1),3)),0,ROUND(POWER(1+H7,D7-F7)*(POWER(1+H7,F7)-1)/(POWER(1+H7,D7)-1),3))</f>
        <v>1</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984.55</v>
      </c>
      <c r="S7" s="132">
        <f>IF('数据-汇总表'!$I$17="按面积比例",SUMIF('数据-汇总表'!C$19:C$33,A7,'数据-汇总表'!K$19:K$33),SUMIF('数据-汇总表'!C$19:C$33,A7,'数据-汇总表'!N$19:N$33))</f>
        <v>101.02</v>
      </c>
      <c r="T7" s="2219">
        <f t="shared" ref="T7:T13" si="5">IF($T$4="按面积比例",IF(ISERROR(ROUND($M$14*S7/S$16,0)),"0",ROUND($M$14*S7/S$16,0)),"需自行计算录入")</f>
        <v>21</v>
      </c>
      <c r="U7" s="180">
        <f>W21</f>
        <v>4.25</v>
      </c>
      <c r="V7" s="181">
        <v>2.5000000000000001E-2</v>
      </c>
      <c r="W7" s="181">
        <v>0.1</v>
      </c>
      <c r="X7" s="2306"/>
      <c r="Y7" s="182">
        <v>1</v>
      </c>
      <c r="Z7" s="183"/>
      <c r="AA7" s="176"/>
      <c r="AB7" s="176"/>
      <c r="AC7" s="2309"/>
      <c r="AD7" s="184"/>
      <c r="AE7" s="972">
        <f t="shared" ref="AE7:AE13" ca="1" si="6">IF(AN7="",0,SUMIF(INDIRECT("'"&amp;AN7&amp;"'"&amp;"!E:E"),$AE$5,INDIRECT("'"&amp;AN7&amp;"'"&amp;"!F:F")))</f>
        <v>40</v>
      </c>
      <c r="AF7" s="141"/>
      <c r="AG7" s="1209">
        <f t="shared" ref="AG7:AG13" si="7">IF(AF7="",0,AE7-AF7)</f>
        <v>0</v>
      </c>
      <c r="AH7" s="141"/>
      <c r="AI7" s="187">
        <v>365</v>
      </c>
      <c r="AJ7" s="188"/>
      <c r="AK7" s="189">
        <v>0.02</v>
      </c>
      <c r="AL7" s="190">
        <v>2E-3</v>
      </c>
      <c r="AM7" s="2992">
        <v>0.02</v>
      </c>
      <c r="AN7" s="2356" t="s">
        <v>3016</v>
      </c>
      <c r="AO7" s="1985"/>
      <c r="AP7" s="1200">
        <f t="shared" ref="AP7:AP13" si="8">ROUND(1-1/(1+H7)^F7,3)</f>
        <v>0.85799999999999998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t="str">
        <f>'数据-汇总表'!C21</f>
        <v>车库</v>
      </c>
      <c r="B8" s="2322" t="str">
        <f t="shared" si="1"/>
        <v>经营性</v>
      </c>
      <c r="C8" s="173" t="s">
        <v>3208</v>
      </c>
      <c r="D8" s="2293">
        <f>SUMIF(项目基本情况!D$15:I$15,C8,项目基本情况!D$18:I$18)</f>
        <v>50</v>
      </c>
      <c r="E8" s="2294">
        <f>IF(B8="","",SUMIF(项目基本情况!D$15:I$15,C8,项目基本情况!D$17:I$17))</f>
        <v>61911</v>
      </c>
      <c r="F8" s="174">
        <f>SUMIF(项目基本情况!D$15:I$15,C8,项目基本情况!D$19:I$19)</f>
        <v>50</v>
      </c>
      <c r="G8" s="175">
        <f t="shared" si="2"/>
        <v>1</v>
      </c>
      <c r="H8" s="2978">
        <v>0.04</v>
      </c>
      <c r="I8" s="2978">
        <v>4.4999999999999998E-2</v>
      </c>
      <c r="J8" s="176">
        <v>0.08</v>
      </c>
      <c r="K8" s="179">
        <f>SUMIF('数据-汇总表'!C$19:C$33,'数据-取费表'!A8,'数据-汇总表'!E$19:E$33)</f>
        <v>51281.989903754205</v>
      </c>
      <c r="L8" s="2979">
        <v>2100</v>
      </c>
      <c r="M8" s="177">
        <f>ROUND(K8*L8/10000,0)</f>
        <v>10769</v>
      </c>
      <c r="N8" s="2980">
        <v>0</v>
      </c>
      <c r="O8" s="177">
        <f t="shared" si="3"/>
        <v>0</v>
      </c>
      <c r="P8" s="178">
        <f t="shared" si="4"/>
        <v>10769</v>
      </c>
      <c r="Q8" s="2981">
        <v>0.1</v>
      </c>
      <c r="R8" s="179">
        <f>SUMIF('数据-汇总表'!C$19:C$33,A8,'数据-汇总表'!R$19:R$33)</f>
        <v>0</v>
      </c>
      <c r="S8" s="132">
        <f>IF('数据-汇总表'!$I$17="按面积比例",SUMIF('数据-汇总表'!C$19:C$33,A8,'数据-汇总表'!K$19:K$33),SUMIF('数据-汇总表'!C$19:C$33,A8,'数据-汇总表'!N$19:N$33))</f>
        <v>1079.94</v>
      </c>
      <c r="T8" s="2219">
        <f t="shared" si="5"/>
        <v>227</v>
      </c>
      <c r="U8" s="180">
        <v>0.27</v>
      </c>
      <c r="V8" s="181">
        <v>0</v>
      </c>
      <c r="W8" s="181">
        <v>0.05</v>
      </c>
      <c r="X8" s="2306"/>
      <c r="Y8" s="182">
        <v>1</v>
      </c>
      <c r="Z8" s="183"/>
      <c r="AA8" s="176"/>
      <c r="AB8" s="176"/>
      <c r="AC8" s="2309"/>
      <c r="AD8" s="184"/>
      <c r="AE8" s="972">
        <f t="shared" ca="1" si="6"/>
        <v>50</v>
      </c>
      <c r="AF8" s="141"/>
      <c r="AG8" s="1209">
        <f t="shared" si="7"/>
        <v>0</v>
      </c>
      <c r="AH8" s="141"/>
      <c r="AI8" s="187">
        <v>365</v>
      </c>
      <c r="AJ8" s="188"/>
      <c r="AK8" s="189">
        <v>0.02</v>
      </c>
      <c r="AL8" s="190">
        <v>2E-3</v>
      </c>
      <c r="AM8" s="2992">
        <v>0.02</v>
      </c>
      <c r="AN8" s="2356" t="s">
        <v>3211</v>
      </c>
      <c r="AO8" s="1985"/>
      <c r="AP8" s="1200">
        <f t="shared" si="8"/>
        <v>0.85899999999999999</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245201.18990375422</v>
      </c>
      <c r="L16" s="206">
        <f>ROUND(M16*10000/SUM(K6:K14),0)</f>
        <v>2250</v>
      </c>
      <c r="M16" s="206">
        <f>SUM(M6:M14)</f>
        <v>54474</v>
      </c>
      <c r="N16" s="207">
        <f>ROUND(SUMPRODUCT(M6:M14,N6:N14)/M16,3)</f>
        <v>0</v>
      </c>
      <c r="O16" s="206">
        <f>SUM(O6:O14)</f>
        <v>0</v>
      </c>
      <c r="P16" s="206">
        <f>SUM(P6:P14)</f>
        <v>54474</v>
      </c>
      <c r="Q16" s="208">
        <f>ROUND(SUMPRODUCT(Q6:Q13,K6:K13)/SUMPRODUCT((Q6:Q13&gt;0)*(K6:K13)),2)</f>
        <v>0.18</v>
      </c>
      <c r="R16" s="2296">
        <f>SUM(R6:R13)</f>
        <v>38151.280000000006</v>
      </c>
      <c r="S16" s="209">
        <f>SUM(S6:S13)</f>
        <v>4994.38</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0.91800000000000004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3130</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2893</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1326</v>
      </c>
      <c r="C53" s="3028" t="s">
        <v>2903</v>
      </c>
      <c r="D53" s="3029"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2905</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2906</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2907</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2908</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2909</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2910</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318" t="s">
        <v>1663</v>
      </c>
      <c r="B1" s="3319"/>
      <c r="C1" s="3319"/>
      <c r="D1" s="3319"/>
      <c r="E1" s="3319"/>
      <c r="F1" s="3319"/>
      <c r="G1" s="3319"/>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3" t="s">
        <v>2921</v>
      </c>
      <c r="D3" s="1994"/>
      <c r="E3" s="1225" t="s">
        <v>1666</v>
      </c>
      <c r="F3" s="1226" t="s">
        <v>1654</v>
      </c>
      <c r="G3" s="3037" t="s">
        <v>2920</v>
      </c>
      <c r="H3" s="1993"/>
      <c r="I3" s="1993"/>
      <c r="J3" s="1993"/>
      <c r="K3" s="1993"/>
      <c r="L3" s="1993"/>
      <c r="M3" s="1993"/>
      <c r="N3" s="1993"/>
      <c r="O3" s="1993"/>
      <c r="P3" s="1993"/>
      <c r="Q3" s="1993"/>
      <c r="R3" s="1993"/>
    </row>
    <row r="4" spans="1:18" ht="43.2">
      <c r="A4" s="1225"/>
      <c r="B4" s="1227" t="s">
        <v>1667</v>
      </c>
      <c r="C4" s="3034" t="s">
        <v>2922</v>
      </c>
      <c r="D4" s="1994"/>
      <c r="E4" s="1228"/>
      <c r="F4" s="1229" t="s">
        <v>1668</v>
      </c>
      <c r="G4" s="3035" t="s">
        <v>2917</v>
      </c>
      <c r="H4" s="1993"/>
      <c r="I4" s="1993"/>
      <c r="J4" s="1993"/>
      <c r="K4" s="1993"/>
      <c r="L4" s="1993"/>
      <c r="M4" s="1993"/>
      <c r="N4" s="1993"/>
      <c r="O4" s="1993"/>
      <c r="P4" s="1993"/>
      <c r="Q4" s="1993"/>
      <c r="R4" s="1993"/>
    </row>
    <row r="5" spans="1:18" ht="43.2">
      <c r="A5" s="1225"/>
      <c r="B5" s="1227" t="s">
        <v>1669</v>
      </c>
      <c r="C5" s="3034" t="s">
        <v>2923</v>
      </c>
      <c r="D5" s="1994"/>
      <c r="E5" s="1228"/>
      <c r="F5" s="1227" t="s">
        <v>2545</v>
      </c>
      <c r="G5" s="3035" t="s">
        <v>2918</v>
      </c>
      <c r="H5" s="1993"/>
      <c r="I5" s="1993"/>
      <c r="J5" s="1993"/>
      <c r="K5" s="1993"/>
      <c r="L5" s="1993"/>
      <c r="M5" s="1993"/>
      <c r="N5" s="1993"/>
      <c r="O5" s="1993"/>
      <c r="P5" s="1993"/>
      <c r="Q5" s="1993"/>
      <c r="R5" s="1993"/>
    </row>
    <row r="6" spans="1:18" ht="57.6">
      <c r="A6" s="1225"/>
      <c r="B6" s="1227" t="s">
        <v>1655</v>
      </c>
      <c r="C6" s="3035" t="s">
        <v>2917</v>
      </c>
      <c r="D6" s="1994"/>
      <c r="E6" s="1228"/>
      <c r="F6" s="1227" t="s">
        <v>2546</v>
      </c>
      <c r="G6" s="3035" t="s">
        <v>2915</v>
      </c>
      <c r="H6" s="1993"/>
      <c r="I6" s="1993"/>
      <c r="J6" s="1993"/>
      <c r="K6" s="1993"/>
      <c r="L6" s="1993"/>
      <c r="M6" s="1993"/>
      <c r="N6" s="1993"/>
      <c r="O6" s="1993"/>
      <c r="P6" s="1993"/>
      <c r="Q6" s="1993"/>
      <c r="R6" s="1993"/>
    </row>
    <row r="7" spans="1:18" ht="43.8" thickBot="1">
      <c r="A7" s="1225"/>
      <c r="B7" s="1227" t="s">
        <v>2545</v>
      </c>
      <c r="C7" s="3035" t="s">
        <v>2918</v>
      </c>
      <c r="D7" s="1995"/>
      <c r="E7" s="1230"/>
      <c r="F7" s="1231" t="s">
        <v>1670</v>
      </c>
      <c r="G7" s="3038" t="s">
        <v>2919</v>
      </c>
      <c r="H7" s="1993"/>
      <c r="I7" s="1993"/>
      <c r="J7" s="1993"/>
      <c r="K7" s="1993"/>
      <c r="L7" s="1993"/>
      <c r="M7" s="1993"/>
      <c r="N7" s="1993"/>
      <c r="O7" s="1993"/>
      <c r="P7" s="1993"/>
      <c r="Q7" s="1993"/>
      <c r="R7" s="1993"/>
    </row>
    <row r="8" spans="1:18" ht="28.8">
      <c r="A8" s="1225"/>
      <c r="B8" s="1227" t="s">
        <v>2546</v>
      </c>
      <c r="C8" s="3035" t="s">
        <v>2915</v>
      </c>
      <c r="D8" s="1995"/>
      <c r="E8" s="1995"/>
      <c r="F8" s="1540"/>
      <c r="G8" s="1540"/>
      <c r="H8" s="1993"/>
      <c r="I8" s="1993"/>
      <c r="J8" s="1993"/>
      <c r="K8" s="1993"/>
      <c r="L8" s="1993"/>
      <c r="M8" s="1993"/>
      <c r="N8" s="1993"/>
      <c r="O8" s="1993"/>
      <c r="P8" s="1993"/>
      <c r="Q8" s="1993"/>
      <c r="R8" s="1993"/>
    </row>
    <row r="9" spans="1:18" ht="43.2">
      <c r="A9" s="1225"/>
      <c r="B9" s="1227" t="s">
        <v>1656</v>
      </c>
      <c r="C9" s="3034"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2545</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2546</v>
      </c>
      <c r="G20" s="1005" t="str">
        <f>G6</f>
        <v>估价对象所在区域基础设施水平</v>
      </c>
    </row>
    <row r="21" spans="1:7" ht="28.8">
      <c r="A21" s="2553"/>
      <c r="B21" s="1227" t="s">
        <v>2545</v>
      </c>
      <c r="C21" s="1005" t="str">
        <f>C7</f>
        <v>估价对象所在区域公共配套设施齐备情况</v>
      </c>
      <c r="D21" s="1994"/>
      <c r="E21" s="2550"/>
      <c r="F21" s="1243" t="s">
        <v>1661</v>
      </c>
      <c r="G21" s="3039"/>
    </row>
    <row r="22" spans="1:7" ht="28.8">
      <c r="A22" s="2553"/>
      <c r="B22" s="1227" t="s">
        <v>2546</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0" sqref="D10"/>
    </sheetView>
  </sheetViews>
  <sheetFormatPr defaultColWidth="14.6640625" defaultRowHeight="14.4"/>
  <cols>
    <col min="1" max="1" width="24.33203125" customWidth="1"/>
  </cols>
  <sheetData>
    <row r="1" spans="1:9" ht="15.6">
      <c r="A1" s="2997" t="s">
        <v>2843</v>
      </c>
      <c r="B1" s="2997">
        <f>SUM(B14:B23)</f>
        <v>245201.18990375422</v>
      </c>
      <c r="C1" s="2998"/>
      <c r="D1" s="2998"/>
      <c r="E1" s="2998"/>
      <c r="F1" s="2998"/>
    </row>
    <row r="2" spans="1:9" ht="15.6">
      <c r="A2" s="2997" t="s">
        <v>2844</v>
      </c>
      <c r="B2" s="2997">
        <f>SUM(C14:C23)</f>
        <v>38151.279999999999</v>
      </c>
      <c r="C2" s="2998"/>
      <c r="D2" s="2998"/>
      <c r="E2" s="2998"/>
      <c r="F2" s="2998"/>
    </row>
    <row r="3" spans="1:9" ht="15.6">
      <c r="A3" s="2997" t="s">
        <v>2845</v>
      </c>
      <c r="B3" s="2999">
        <f>项目基本情况!D3</f>
        <v>43657</v>
      </c>
      <c r="C3" s="2998"/>
      <c r="D3" s="2998"/>
      <c r="E3" s="2998"/>
      <c r="F3" s="2998"/>
    </row>
    <row r="4" spans="1:9" ht="31.2">
      <c r="A4" s="2997" t="s">
        <v>2846</v>
      </c>
      <c r="B4" s="2997" t="s">
        <v>2847</v>
      </c>
      <c r="C4" s="2997" t="s">
        <v>2848</v>
      </c>
      <c r="D4" s="2997" t="s">
        <v>2849</v>
      </c>
      <c r="E4" s="2998"/>
      <c r="F4" s="2998"/>
    </row>
    <row r="5" spans="1:9" ht="15.6">
      <c r="A5" s="2997" t="s">
        <v>2850</v>
      </c>
      <c r="B5" s="2997">
        <f ca="1">SUM(D14:D23)</f>
        <v>159280</v>
      </c>
      <c r="C5" s="2997">
        <f ca="1">ROUND(B5*10000/$B$1,0)</f>
        <v>6496</v>
      </c>
      <c r="D5" s="2997">
        <f ca="1">ROUND(B5*10000/$B$2,0)</f>
        <v>41750</v>
      </c>
      <c r="E5" s="2998"/>
      <c r="F5" s="2998"/>
    </row>
    <row r="6" spans="1:9" ht="15.6">
      <c r="A6" s="2997" t="s">
        <v>2851</v>
      </c>
      <c r="B6" s="2997">
        <f ca="1">SUM(G14:G23)</f>
        <v>159280</v>
      </c>
      <c r="C6" s="2997">
        <f t="shared" ref="C6:C8" ca="1" si="0">ROUND(B6*10000/$B$1,0)</f>
        <v>6496</v>
      </c>
      <c r="D6" s="2997">
        <f t="shared" ref="D6:D8" ca="1" si="1">ROUND(B6*10000/$B$2,0)</f>
        <v>41750</v>
      </c>
      <c r="E6" s="2998"/>
      <c r="F6" s="2998"/>
    </row>
    <row r="7" spans="1:9" ht="15.6">
      <c r="A7" s="2997" t="s">
        <v>2852</v>
      </c>
      <c r="B7" s="2997">
        <f>SUM(H14:H23)</f>
        <v>0</v>
      </c>
      <c r="C7" s="2997">
        <f t="shared" si="0"/>
        <v>0</v>
      </c>
      <c r="D7" s="2997">
        <f t="shared" si="1"/>
        <v>0</v>
      </c>
      <c r="E7" s="2998"/>
      <c r="F7" s="2998"/>
    </row>
    <row r="8" spans="1:9" ht="15.6">
      <c r="A8" s="2997" t="s">
        <v>2853</v>
      </c>
      <c r="B8" s="2997">
        <f ca="1">SUM(I14:I23)</f>
        <v>110282</v>
      </c>
      <c r="C8" s="2997">
        <f t="shared" ca="1" si="0"/>
        <v>4498</v>
      </c>
      <c r="D8" s="2997">
        <f t="shared" ca="1" si="1"/>
        <v>28907</v>
      </c>
      <c r="E8" s="2998"/>
      <c r="F8" s="2998"/>
    </row>
    <row r="9" spans="1:9" ht="15.6">
      <c r="A9" s="2997" t="s">
        <v>2854</v>
      </c>
      <c r="B9" s="3000"/>
      <c r="C9" s="2998"/>
      <c r="D9" s="2998"/>
      <c r="E9" s="2998"/>
      <c r="F9" s="2998"/>
    </row>
    <row r="10" spans="1:9" ht="15.6">
      <c r="A10" s="2997" t="s">
        <v>2855</v>
      </c>
      <c r="B10" s="3000"/>
      <c r="C10" s="2998"/>
      <c r="D10" s="2998"/>
      <c r="E10" s="2998"/>
      <c r="F10" s="2998"/>
    </row>
    <row r="11" spans="1:9" ht="15.6">
      <c r="A11" s="2997" t="s">
        <v>2872</v>
      </c>
      <c r="B11" s="3000"/>
      <c r="C11" s="2998"/>
      <c r="D11" s="2998"/>
      <c r="E11" s="2998"/>
      <c r="F11" s="2998"/>
    </row>
    <row r="12" spans="1:9" ht="15.6">
      <c r="A12" s="2998"/>
      <c r="B12" s="2998"/>
      <c r="C12" s="2998"/>
      <c r="D12" s="2998"/>
      <c r="E12" s="2998"/>
      <c r="F12" s="2998"/>
    </row>
    <row r="13" spans="1:9" ht="31.2">
      <c r="A13" s="3003" t="s">
        <v>2871</v>
      </c>
      <c r="B13" s="3001" t="s">
        <v>2843</v>
      </c>
      <c r="C13" s="3001" t="s">
        <v>2844</v>
      </c>
      <c r="D13" s="3001" t="s">
        <v>2856</v>
      </c>
      <c r="E13" s="2997" t="s">
        <v>2870</v>
      </c>
      <c r="F13" s="2997" t="s">
        <v>2849</v>
      </c>
      <c r="G13" s="3001" t="s">
        <v>2857</v>
      </c>
      <c r="H13" s="3001" t="s">
        <v>2858</v>
      </c>
      <c r="I13" s="3001" t="s">
        <v>2859</v>
      </c>
    </row>
    <row r="14" spans="1:9" ht="15.6">
      <c r="A14" s="3004" t="s">
        <v>2869</v>
      </c>
      <c r="B14" s="3001">
        <f>结果表!L38</f>
        <v>245201.18990375422</v>
      </c>
      <c r="C14" s="3001">
        <f>结果表!K38</f>
        <v>38151.279999999999</v>
      </c>
      <c r="D14" s="3001">
        <f ca="1">结果表!C42</f>
        <v>159280</v>
      </c>
      <c r="E14" s="3001">
        <f ca="1">ROUND(D14*10000/B14,0)</f>
        <v>6496</v>
      </c>
      <c r="F14" s="3001">
        <f ca="1">ROUND(D14*10000/C14,0)</f>
        <v>41750</v>
      </c>
      <c r="G14" s="3001">
        <f ca="1">结果表!C44</f>
        <v>159280</v>
      </c>
      <c r="H14" s="3001" t="str">
        <f>结果表!C45</f>
        <v>——</v>
      </c>
      <c r="I14" s="3001">
        <f ca="1">结果表!C46</f>
        <v>110282</v>
      </c>
    </row>
    <row r="15" spans="1:9" ht="15.6">
      <c r="A15" s="3004" t="s">
        <v>2860</v>
      </c>
      <c r="B15" s="3005"/>
      <c r="C15" s="3005"/>
      <c r="D15" s="3005"/>
      <c r="E15" s="3001" t="e">
        <f t="shared" ref="E15:E23" si="2">ROUND(D15*10000/B15,0)</f>
        <v>#DIV/0!</v>
      </c>
      <c r="F15" s="3001" t="e">
        <f t="shared" ref="F15:F23" si="3">ROUND(D15*10000/C15,0)</f>
        <v>#DIV/0!</v>
      </c>
      <c r="G15" s="3002"/>
      <c r="H15" s="3002"/>
      <c r="I15" s="3005"/>
    </row>
    <row r="16" spans="1:9" ht="15.6">
      <c r="A16" s="3004" t="s">
        <v>2861</v>
      </c>
      <c r="B16" s="3005"/>
      <c r="C16" s="3005"/>
      <c r="D16" s="3005"/>
      <c r="E16" s="3001" t="e">
        <f t="shared" si="2"/>
        <v>#DIV/0!</v>
      </c>
      <c r="F16" s="3001" t="e">
        <f t="shared" si="3"/>
        <v>#DIV/0!</v>
      </c>
      <c r="G16" s="3002"/>
      <c r="H16" s="3002"/>
      <c r="I16" s="3005"/>
    </row>
    <row r="17" spans="1:9" ht="15.6">
      <c r="A17" s="3004" t="s">
        <v>2862</v>
      </c>
      <c r="B17" s="3005"/>
      <c r="C17" s="3005"/>
      <c r="D17" s="3005"/>
      <c r="E17" s="3001" t="e">
        <f t="shared" si="2"/>
        <v>#DIV/0!</v>
      </c>
      <c r="F17" s="3001" t="e">
        <f t="shared" si="3"/>
        <v>#DIV/0!</v>
      </c>
      <c r="G17" s="3002"/>
      <c r="H17" s="3002"/>
      <c r="I17" s="3005"/>
    </row>
    <row r="18" spans="1:9" ht="15.6">
      <c r="A18" s="3004" t="s">
        <v>2863</v>
      </c>
      <c r="B18" s="3005"/>
      <c r="C18" s="3005"/>
      <c r="D18" s="3005"/>
      <c r="E18" s="3001" t="e">
        <f t="shared" si="2"/>
        <v>#DIV/0!</v>
      </c>
      <c r="F18" s="3001" t="e">
        <f t="shared" si="3"/>
        <v>#DIV/0!</v>
      </c>
      <c r="G18" s="3005"/>
      <c r="H18" s="3005"/>
      <c r="I18" s="3005"/>
    </row>
    <row r="19" spans="1:9" ht="15.6">
      <c r="A19" s="3004" t="s">
        <v>2864</v>
      </c>
      <c r="B19" s="3005"/>
      <c r="C19" s="3005"/>
      <c r="D19" s="3005"/>
      <c r="E19" s="3001" t="e">
        <f t="shared" si="2"/>
        <v>#DIV/0!</v>
      </c>
      <c r="F19" s="3001" t="e">
        <f t="shared" si="3"/>
        <v>#DIV/0!</v>
      </c>
      <c r="G19" s="3005"/>
      <c r="H19" s="3005"/>
      <c r="I19" s="3005"/>
    </row>
    <row r="20" spans="1:9" ht="15.6">
      <c r="A20" s="3004" t="s">
        <v>2865</v>
      </c>
      <c r="B20" s="3005"/>
      <c r="C20" s="3005"/>
      <c r="D20" s="3005"/>
      <c r="E20" s="3001" t="e">
        <f t="shared" si="2"/>
        <v>#DIV/0!</v>
      </c>
      <c r="F20" s="3001" t="e">
        <f t="shared" si="3"/>
        <v>#DIV/0!</v>
      </c>
      <c r="G20" s="3005"/>
      <c r="H20" s="3005"/>
      <c r="I20" s="3005"/>
    </row>
    <row r="21" spans="1:9" ht="15.6">
      <c r="A21" s="3004" t="s">
        <v>2866</v>
      </c>
      <c r="B21" s="3005"/>
      <c r="C21" s="3005"/>
      <c r="D21" s="3005"/>
      <c r="E21" s="3001" t="e">
        <f t="shared" si="2"/>
        <v>#DIV/0!</v>
      </c>
      <c r="F21" s="3001" t="e">
        <f t="shared" si="3"/>
        <v>#DIV/0!</v>
      </c>
      <c r="G21" s="3005"/>
      <c r="H21" s="3005"/>
      <c r="I21" s="3005"/>
    </row>
    <row r="22" spans="1:9" ht="15.6">
      <c r="A22" s="3004" t="s">
        <v>2867</v>
      </c>
      <c r="B22" s="3005"/>
      <c r="C22" s="3005"/>
      <c r="D22" s="3005"/>
      <c r="E22" s="3001" t="e">
        <f t="shared" si="2"/>
        <v>#DIV/0!</v>
      </c>
      <c r="F22" s="3001" t="e">
        <f t="shared" si="3"/>
        <v>#DIV/0!</v>
      </c>
      <c r="G22" s="3005"/>
      <c r="H22" s="3005"/>
      <c r="I22" s="3005"/>
    </row>
    <row r="23" spans="1:9" ht="15.6">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P84" sqref="P84"/>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56" t="str">
        <f>项目基本情况!K2</f>
        <v>k5雅苑出让国有建设用地使用权</v>
      </c>
      <c r="B2" s="3357"/>
      <c r="C2" s="3358"/>
      <c r="D2" s="3358"/>
      <c r="E2" s="3358"/>
      <c r="F2" s="3358"/>
      <c r="G2" s="3357"/>
      <c r="H2" s="3357"/>
      <c r="I2" s="3359"/>
      <c r="J2" s="2015"/>
      <c r="K2" s="2014"/>
      <c r="L2" s="2014"/>
      <c r="M2" s="2014"/>
      <c r="N2" s="2014"/>
      <c r="O2" s="2014"/>
      <c r="P2" s="2014"/>
      <c r="Q2" s="2014"/>
      <c r="R2" s="2014"/>
      <c r="S2" s="2014"/>
      <c r="T2" s="2014"/>
      <c r="U2" s="2014"/>
      <c r="V2" s="2014"/>
    </row>
    <row r="3" spans="1:22" ht="13.8">
      <c r="A3" s="3349" t="s">
        <v>298</v>
      </c>
      <c r="B3" s="3350"/>
      <c r="C3" s="3350"/>
      <c r="D3" s="3350"/>
      <c r="E3" s="3350"/>
      <c r="F3" s="3350"/>
      <c r="G3" s="3350"/>
      <c r="H3" s="3350"/>
      <c r="I3" s="3350"/>
      <c r="J3" s="2015"/>
      <c r="K3" s="2014"/>
      <c r="L3" s="2014"/>
      <c r="M3" s="2014"/>
      <c r="N3" s="2014"/>
      <c r="O3" s="2014"/>
      <c r="P3" s="2014"/>
      <c r="Q3" s="2014"/>
      <c r="R3" s="2014"/>
      <c r="S3" s="2014"/>
      <c r="T3" s="2014"/>
      <c r="U3" s="2014"/>
      <c r="V3" s="2014"/>
    </row>
    <row r="4" spans="1:22" ht="14.4">
      <c r="A4" s="258" t="s">
        <v>299</v>
      </c>
      <c r="B4" s="259" t="s">
        <v>300</v>
      </c>
      <c r="C4" s="260" t="s">
        <v>3013</v>
      </c>
      <c r="D4" s="260" t="s">
        <v>3014</v>
      </c>
      <c r="E4" s="3321" t="s">
        <v>301</v>
      </c>
      <c r="F4" s="3322"/>
      <c r="G4" s="3322"/>
      <c r="H4" s="3322"/>
      <c r="I4" s="335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20" t="s">
        <v>302</v>
      </c>
      <c r="B5" s="3346">
        <v>25</v>
      </c>
      <c r="C5" s="3344"/>
      <c r="D5" s="3348"/>
      <c r="E5" s="261" t="s">
        <v>303</v>
      </c>
      <c r="F5" s="262"/>
      <c r="G5" s="262"/>
      <c r="H5" s="262"/>
      <c r="I5" s="263"/>
      <c r="J5" s="2015"/>
      <c r="K5" s="2014"/>
      <c r="L5" s="2014"/>
      <c r="M5" s="2014"/>
      <c r="N5" s="2014"/>
      <c r="O5" s="2014"/>
      <c r="P5" s="2014"/>
      <c r="Q5" s="2014"/>
      <c r="R5" s="2014"/>
      <c r="S5" s="2014"/>
      <c r="T5" s="2014"/>
      <c r="U5" s="2014"/>
      <c r="V5" s="2014"/>
    </row>
    <row r="6" spans="1:22" ht="13.8">
      <c r="A6" s="3320"/>
      <c r="B6" s="3346"/>
      <c r="C6" s="3347"/>
      <c r="D6" s="3348"/>
      <c r="E6" s="261" t="s">
        <v>304</v>
      </c>
      <c r="F6" s="262"/>
      <c r="G6" s="262"/>
      <c r="H6" s="262"/>
      <c r="I6" s="263"/>
      <c r="J6" s="2015"/>
      <c r="K6" s="2014"/>
      <c r="L6" s="2014"/>
      <c r="M6" s="2014"/>
      <c r="N6" s="2014"/>
      <c r="O6" s="2014"/>
      <c r="P6" s="2014"/>
      <c r="Q6" s="2014"/>
      <c r="R6" s="2014"/>
      <c r="S6" s="2014"/>
      <c r="T6" s="2014"/>
      <c r="U6" s="2014"/>
      <c r="V6" s="2014"/>
    </row>
    <row r="7" spans="1:22" ht="13.8">
      <c r="A7" s="3320"/>
      <c r="B7" s="3346"/>
      <c r="C7" s="3345"/>
      <c r="D7" s="3348"/>
      <c r="E7" s="261" t="s">
        <v>305</v>
      </c>
      <c r="F7" s="262"/>
      <c r="G7" s="262"/>
      <c r="H7" s="262"/>
      <c r="I7" s="263"/>
      <c r="J7" s="2015"/>
      <c r="K7" s="2014"/>
      <c r="L7" s="2014"/>
      <c r="M7" s="2014"/>
      <c r="N7" s="2014"/>
      <c r="O7" s="2014"/>
      <c r="P7" s="2014"/>
      <c r="Q7" s="2014"/>
      <c r="R7" s="2014"/>
      <c r="S7" s="2014"/>
      <c r="T7" s="2014"/>
      <c r="U7" s="2014"/>
      <c r="V7" s="2014"/>
    </row>
    <row r="8" spans="1:22" ht="13.8">
      <c r="A8" s="3320" t="s">
        <v>306</v>
      </c>
      <c r="B8" s="3346">
        <v>15</v>
      </c>
      <c r="C8" s="3344"/>
      <c r="D8" s="3348"/>
      <c r="E8" s="261" t="s">
        <v>307</v>
      </c>
      <c r="F8" s="262"/>
      <c r="G8" s="262"/>
      <c r="H8" s="262"/>
      <c r="I8" s="263"/>
      <c r="J8" s="2015"/>
      <c r="K8" s="2014"/>
      <c r="L8" s="2014"/>
      <c r="M8" s="2014"/>
      <c r="N8" s="2014"/>
      <c r="O8" s="2014"/>
      <c r="P8" s="2014"/>
      <c r="Q8" s="2014"/>
      <c r="R8" s="2014"/>
      <c r="S8" s="2014"/>
      <c r="T8" s="2014"/>
      <c r="U8" s="2014"/>
      <c r="V8" s="2014"/>
    </row>
    <row r="9" spans="1:22" ht="13.8">
      <c r="A9" s="3320"/>
      <c r="B9" s="3346"/>
      <c r="C9" s="3345"/>
      <c r="D9" s="3348"/>
      <c r="E9" s="261" t="s">
        <v>308</v>
      </c>
      <c r="F9" s="262"/>
      <c r="G9" s="262"/>
      <c r="H9" s="262"/>
      <c r="I9" s="263"/>
      <c r="J9" s="2015"/>
      <c r="K9" s="2014"/>
      <c r="L9" s="2014"/>
      <c r="M9" s="2014"/>
      <c r="N9" s="2014"/>
      <c r="O9" s="2014"/>
      <c r="P9" s="2014"/>
      <c r="Q9" s="2014"/>
      <c r="R9" s="2014"/>
      <c r="S9" s="2014"/>
      <c r="T9" s="2014"/>
      <c r="U9" s="2014"/>
      <c r="V9" s="2014"/>
    </row>
    <row r="10" spans="1:22" ht="13.8">
      <c r="A10" s="3320" t="s">
        <v>309</v>
      </c>
      <c r="B10" s="3346">
        <v>15</v>
      </c>
      <c r="C10" s="3344"/>
      <c r="D10" s="3348"/>
      <c r="E10" s="261" t="s">
        <v>310</v>
      </c>
      <c r="F10" s="262"/>
      <c r="G10" s="262"/>
      <c r="H10" s="262"/>
      <c r="I10" s="263"/>
      <c r="J10" s="2015"/>
      <c r="K10" s="2014"/>
      <c r="L10" s="2014"/>
      <c r="M10" s="2014"/>
      <c r="N10" s="2014"/>
      <c r="O10" s="2014"/>
      <c r="P10" s="2014"/>
      <c r="Q10" s="2014"/>
      <c r="R10" s="2014"/>
      <c r="S10" s="2014"/>
      <c r="T10" s="2014"/>
      <c r="U10" s="2014"/>
      <c r="V10" s="2014"/>
    </row>
    <row r="11" spans="1:22" ht="13.8">
      <c r="A11" s="3320"/>
      <c r="B11" s="3346"/>
      <c r="C11" s="3345"/>
      <c r="D11" s="3348"/>
      <c r="E11" s="261" t="s">
        <v>311</v>
      </c>
      <c r="F11" s="262"/>
      <c r="G11" s="262"/>
      <c r="H11" s="262"/>
      <c r="I11" s="263"/>
      <c r="J11" s="2015"/>
      <c r="K11" s="2014"/>
      <c r="L11" s="2014"/>
      <c r="M11" s="2014"/>
      <c r="N11" s="2014"/>
      <c r="O11" s="2014"/>
      <c r="P11" s="2014"/>
      <c r="Q11" s="2014"/>
      <c r="R11" s="2014"/>
      <c r="S11" s="2014"/>
      <c r="T11" s="2014"/>
      <c r="U11" s="2014"/>
      <c r="V11" s="2014"/>
    </row>
    <row r="12" spans="1:22" ht="13.8">
      <c r="A12" s="3320" t="s">
        <v>312</v>
      </c>
      <c r="B12" s="3346">
        <v>15</v>
      </c>
      <c r="C12" s="3344"/>
      <c r="D12" s="3348"/>
      <c r="E12" s="261" t="s">
        <v>313</v>
      </c>
      <c r="F12" s="262"/>
      <c r="G12" s="262"/>
      <c r="H12" s="262"/>
      <c r="I12" s="263"/>
      <c r="J12" s="2015"/>
      <c r="K12" s="2014"/>
      <c r="L12" s="2014"/>
      <c r="M12" s="2014"/>
      <c r="N12" s="2014"/>
      <c r="O12" s="2014"/>
      <c r="P12" s="2014"/>
      <c r="Q12" s="2014"/>
      <c r="R12" s="2014"/>
      <c r="S12" s="2014"/>
      <c r="T12" s="2014"/>
      <c r="U12" s="2014"/>
      <c r="V12" s="2014"/>
    </row>
    <row r="13" spans="1:22" ht="13.8">
      <c r="A13" s="3320"/>
      <c r="B13" s="3346"/>
      <c r="C13" s="3345"/>
      <c r="D13" s="3348"/>
      <c r="E13" s="261" t="s">
        <v>314</v>
      </c>
      <c r="F13" s="262"/>
      <c r="G13" s="262"/>
      <c r="H13" s="262"/>
      <c r="I13" s="263"/>
      <c r="J13" s="2015"/>
      <c r="K13" s="2014"/>
      <c r="L13" s="2014"/>
      <c r="M13" s="2014"/>
      <c r="N13" s="2014"/>
      <c r="O13" s="2014"/>
      <c r="P13" s="2014"/>
      <c r="Q13" s="2014"/>
      <c r="R13" s="2014"/>
      <c r="S13" s="2014"/>
      <c r="T13" s="2014"/>
      <c r="U13" s="2014"/>
      <c r="V13" s="2014"/>
    </row>
    <row r="14" spans="1:22" ht="13.8">
      <c r="A14" s="3320" t="s">
        <v>315</v>
      </c>
      <c r="B14" s="3346">
        <v>30</v>
      </c>
      <c r="C14" s="3344">
        <v>5</v>
      </c>
      <c r="D14" s="3348">
        <v>5</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20"/>
      <c r="B15" s="3346"/>
      <c r="C15" s="3347"/>
      <c r="D15" s="3348"/>
      <c r="E15" s="261" t="s">
        <v>317</v>
      </c>
      <c r="F15" s="262"/>
      <c r="G15" s="262"/>
      <c r="H15" s="262"/>
      <c r="I15" s="263"/>
      <c r="J15" s="2015"/>
      <c r="K15" s="2014"/>
      <c r="L15" s="2014"/>
      <c r="M15" s="2014"/>
      <c r="N15" s="2014"/>
      <c r="O15" s="2014"/>
      <c r="P15" s="2014"/>
      <c r="Q15" s="2014"/>
      <c r="R15" s="2014"/>
      <c r="S15" s="2014"/>
      <c r="T15" s="2014"/>
      <c r="U15" s="2014"/>
      <c r="V15" s="2014"/>
    </row>
    <row r="16" spans="1:22" ht="13.8">
      <c r="A16" s="3320"/>
      <c r="B16" s="3346"/>
      <c r="C16" s="3345"/>
      <c r="D16" s="3348"/>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161512</v>
      </c>
      <c r="D19" s="271">
        <f ca="1">SUMIF(INDIRECT("'"&amp;D4&amp;"'"&amp;"!A:A"),结果表!B19,INDIRECT("'"&amp;D4&amp;"'"&amp;"!B:B"))</f>
        <v>157048</v>
      </c>
      <c r="E19" s="268" t="s">
        <v>323</v>
      </c>
      <c r="F19" s="269" t="s">
        <v>322</v>
      </c>
      <c r="G19" s="272">
        <f ca="1">ROUND(C19*$C$18+D19*$D$18,0)</f>
        <v>159280</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6587</v>
      </c>
      <c r="D20" s="277">
        <f ca="1">SUMIF(INDIRECT("'"&amp;D4&amp;"'"&amp;"!A:A"),结果表!B20,INDIRECT("'"&amp;D4&amp;"'"&amp;"!B:B"))</f>
        <v>6405</v>
      </c>
      <c r="E20" s="274"/>
      <c r="F20" s="275" t="s">
        <v>325</v>
      </c>
      <c r="G20" s="278">
        <f ca="1">ROUND(C20*$C$18+D20*$D$18,0)</f>
        <v>6496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42335</v>
      </c>
      <c r="D21" s="151">
        <f ca="1">SUMIF(INDIRECT("'"&amp;D4&amp;"'"&amp;"!A:A"),结果表!B21,INDIRECT("'"&amp;D4&amp;"'"&amp;"!B:B"))</f>
        <v>41165</v>
      </c>
      <c r="E21" s="274"/>
      <c r="F21" s="280" t="s">
        <v>327</v>
      </c>
      <c r="G21" s="282">
        <f ca="1">ROUND(C21*$C$18+D21*$D$18,0)</f>
        <v>41750</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2.8424430747287399E-2</v>
      </c>
      <c r="E22" s="284"/>
      <c r="F22" s="285"/>
      <c r="G22" s="286">
        <f ca="1">ROUND(G19/('数据-汇总表'!D3/666.67),0)</f>
        <v>2783</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27"/>
      <c r="B25" s="1317" t="s">
        <v>331</v>
      </c>
      <c r="C25" s="290">
        <f>IF(B30=0,0,C30)</f>
        <v>0</v>
      </c>
      <c r="D25" s="291"/>
      <c r="E25" s="311"/>
      <c r="F25" s="311"/>
      <c r="G25" s="311"/>
      <c r="H25" s="311"/>
      <c r="I25" s="311"/>
      <c r="J25" s="2014"/>
      <c r="K25" s="1251" t="str">
        <f ca="1">项目基本情况!B16&amp;"国有建设用地使用权价格："&amp;O38&amp;"万元"</f>
        <v>出让国有建设用地使用权价格：159280万元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大写金额：人民币壹拾伍亿玖仟贰佰捌拾万元整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单位面积地价：41750元/平方米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楼面地价：6496元/平方米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抵押价格：159280万元</v>
      </c>
      <c r="L29" s="1248"/>
      <c r="M29" s="1248"/>
      <c r="N29" s="1248"/>
      <c r="O29" s="1247"/>
      <c r="P29" s="2014"/>
      <c r="V29" s="2014"/>
    </row>
    <row r="30" spans="1:26" ht="18" thickBot="1">
      <c r="A30" s="3082" t="s">
        <v>336</v>
      </c>
      <c r="B30" s="309"/>
      <c r="C30" s="309"/>
      <c r="D30" s="310"/>
      <c r="E30" s="3083" t="s">
        <v>2968</v>
      </c>
      <c r="F30" s="311"/>
      <c r="G30" s="311"/>
      <c r="H30" s="311"/>
      <c r="I30" s="311"/>
      <c r="J30" s="2014"/>
      <c r="K30" s="1254" t="str">
        <f ca="1">IF(K29="——","——","大写金额：人民币"&amp;NUMBERSTRING(INT(O39*10000),2)&amp;"元整")</f>
        <v>大写金额：人民币壹拾伍亿玖仟贰佰捌拾万元整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159280</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6496</v>
      </c>
      <c r="D33" s="1382" t="s">
        <v>1691</v>
      </c>
      <c r="E33" s="3326" t="s">
        <v>338</v>
      </c>
      <c r="F33" s="296" t="s">
        <v>339</v>
      </c>
      <c r="G33" s="297"/>
      <c r="H33" s="980"/>
      <c r="I33" s="1255"/>
      <c r="J33" s="2014"/>
      <c r="K33" s="1254" t="str">
        <f ca="1">IF(项目基本情况!E9="——","——","抵押净值："&amp;C46&amp;"万元")</f>
        <v>抵押净值：110282万元</v>
      </c>
      <c r="L33" s="1248"/>
      <c r="M33" s="1248"/>
      <c r="N33" s="1248"/>
      <c r="O33" s="1247"/>
      <c r="P33" s="2014"/>
      <c r="V33" s="2014"/>
    </row>
    <row r="34" spans="1:26" s="1250" customFormat="1" ht="18" thickBot="1">
      <c r="A34" s="300"/>
      <c r="B34" s="1383" t="s">
        <v>1692</v>
      </c>
      <c r="C34" s="264">
        <f ca="1">ROUND(C32*10000/'数据-汇总表'!D3,0)</f>
        <v>41750</v>
      </c>
      <c r="D34" s="1384" t="s">
        <v>1691</v>
      </c>
      <c r="E34" s="3367"/>
      <c r="F34" s="127" t="s">
        <v>341</v>
      </c>
      <c r="G34" s="299"/>
      <c r="H34" s="105"/>
      <c r="I34" s="311"/>
      <c r="J34" s="2014"/>
      <c r="K34" s="1257" t="str">
        <f ca="1">IF(K33="——","——","大写金额：人民币"&amp;NUMBERSTRING(INT(O41*10000),2)&amp;"元整")</f>
        <v>大写金额：人民币壹拾壹亿零贰佰捌拾贰万元整</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2783</v>
      </c>
      <c r="D35" s="1387" t="s">
        <v>1693</v>
      </c>
      <c r="E35" s="3368"/>
      <c r="F35" s="301" t="s">
        <v>342</v>
      </c>
      <c r="G35" s="982"/>
      <c r="H35" s="981" t="s">
        <v>343</v>
      </c>
      <c r="I35" s="311"/>
      <c r="J35" s="2014"/>
      <c r="K35" s="3341" t="s">
        <v>350</v>
      </c>
      <c r="L35" s="3341" t="s">
        <v>351</v>
      </c>
      <c r="M35" s="1260" t="s">
        <v>352</v>
      </c>
      <c r="N35" s="3341" t="s">
        <v>353</v>
      </c>
      <c r="O35" s="3341" t="s">
        <v>354</v>
      </c>
      <c r="P35" s="2014"/>
      <c r="V35" s="2014"/>
    </row>
    <row r="36" spans="1:26" ht="16.5" customHeight="1">
      <c r="A36" s="303" t="s">
        <v>344</v>
      </c>
      <c r="B36" s="304" t="s">
        <v>333</v>
      </c>
      <c r="C36" s="305" t="s">
        <v>345</v>
      </c>
      <c r="D36" s="305" t="s">
        <v>346</v>
      </c>
      <c r="E36" s="306" t="s">
        <v>347</v>
      </c>
      <c r="F36" s="311"/>
      <c r="G36" s="311"/>
      <c r="H36" s="311"/>
      <c r="I36" s="311"/>
      <c r="J36" s="2016"/>
      <c r="K36" s="3342"/>
      <c r="L36" s="3342"/>
      <c r="M36" s="1262" t="s">
        <v>355</v>
      </c>
      <c r="N36" s="3342"/>
      <c r="O36" s="3342"/>
      <c r="P36" s="2014"/>
      <c r="V36" s="2014"/>
    </row>
    <row r="37" spans="1:26" ht="16.5" customHeight="1" thickBot="1">
      <c r="A37" s="1256" t="s">
        <v>348</v>
      </c>
      <c r="B37" s="307"/>
      <c r="C37" s="294"/>
      <c r="D37" s="294"/>
      <c r="E37" s="295"/>
      <c r="F37" s="311"/>
      <c r="G37" s="311"/>
      <c r="H37" s="311"/>
      <c r="I37" s="311"/>
      <c r="J37" s="2016"/>
      <c r="K37" s="3343"/>
      <c r="L37" s="3343"/>
      <c r="M37" s="1263"/>
      <c r="N37" s="3343"/>
      <c r="O37" s="3343"/>
      <c r="P37" s="2014"/>
      <c r="V37" s="2014"/>
    </row>
    <row r="38" spans="1:26" ht="16.5" customHeight="1" thickBot="1">
      <c r="A38" s="1256" t="s">
        <v>349</v>
      </c>
      <c r="B38" s="307"/>
      <c r="C38" s="294"/>
      <c r="D38" s="294"/>
      <c r="E38" s="295"/>
      <c r="F38" s="311"/>
      <c r="G38" s="311"/>
      <c r="H38" s="311"/>
      <c r="I38" s="311"/>
      <c r="J38" s="2016"/>
      <c r="K38" s="1264">
        <f>'数据-汇总表'!D3</f>
        <v>38151.279999999999</v>
      </c>
      <c r="L38" s="1265">
        <f>'数据-汇总表'!E3</f>
        <v>245201.18990375422</v>
      </c>
      <c r="M38" s="1265">
        <f ca="1">C34</f>
        <v>41750</v>
      </c>
      <c r="N38" s="1265">
        <f ca="1">C33</f>
        <v>6496</v>
      </c>
      <c r="O38" s="1266">
        <f ca="1">C32</f>
        <v>159280</v>
      </c>
      <c r="P38" s="2014"/>
      <c r="V38" s="2014"/>
    </row>
    <row r="39" spans="1:26" ht="16.5" customHeight="1" thickBot="1">
      <c r="A39" s="1261"/>
      <c r="B39" s="308"/>
      <c r="C39" s="309"/>
      <c r="D39" s="309"/>
      <c r="E39" s="310"/>
      <c r="F39" s="311"/>
      <c r="G39" s="311"/>
      <c r="H39" s="311"/>
      <c r="I39" s="311"/>
      <c r="J39" s="2016"/>
      <c r="K39" s="3386" t="str">
        <f>MID(A44,3,LEN(A44)-2)</f>
        <v>抵押价格</v>
      </c>
      <c r="L39" s="3387"/>
      <c r="M39" s="3387"/>
      <c r="N39" s="3388"/>
      <c r="O39" s="1389">
        <f ca="1">C44</f>
        <v>159280</v>
      </c>
      <c r="P39" s="2014"/>
      <c r="V39" s="2014"/>
    </row>
    <row r="40" spans="1:26" ht="18" thickBot="1">
      <c r="A40" s="104" t="s">
        <v>873</v>
      </c>
      <c r="B40" s="311"/>
      <c r="C40" s="311"/>
      <c r="D40" s="311"/>
      <c r="E40" s="311"/>
      <c r="F40" s="311"/>
      <c r="G40" s="311"/>
      <c r="H40" s="311"/>
      <c r="I40" s="311"/>
      <c r="J40" s="2016"/>
      <c r="K40" s="3386" t="str">
        <f t="shared" ref="K40:K41" si="0">MID(A45,3,LEN(A45)-2)</f>
        <v/>
      </c>
      <c r="L40" s="3387"/>
      <c r="M40" s="3387"/>
      <c r="N40" s="3388"/>
      <c r="O40" s="1389" t="str">
        <f>C45</f>
        <v>——</v>
      </c>
      <c r="P40" s="2014"/>
      <c r="V40" s="2014"/>
    </row>
    <row r="41" spans="1:26" ht="16.2" thickBot="1">
      <c r="A41" s="312" t="s">
        <v>356</v>
      </c>
      <c r="B41" s="313"/>
      <c r="C41" s="314" t="s">
        <v>357</v>
      </c>
      <c r="D41" s="315" t="s">
        <v>358</v>
      </c>
      <c r="E41" s="315" t="s">
        <v>359</v>
      </c>
      <c r="F41" s="316" t="s">
        <v>360</v>
      </c>
      <c r="G41" s="311"/>
      <c r="H41" s="311"/>
      <c r="I41" s="311"/>
      <c r="J41" s="2016"/>
      <c r="K41" s="3386" t="str">
        <f t="shared" si="0"/>
        <v>抵押净值</v>
      </c>
      <c r="L41" s="3387"/>
      <c r="M41" s="3387"/>
      <c r="N41" s="3388"/>
      <c r="O41" s="1389">
        <f ca="1">C46</f>
        <v>110282</v>
      </c>
      <c r="P41" s="2014"/>
      <c r="V41" s="2014"/>
    </row>
    <row r="42" spans="1:26" ht="31.2">
      <c r="A42" s="3328" t="s">
        <v>2067</v>
      </c>
      <c r="B42" s="3329"/>
      <c r="C42" s="264">
        <f ca="1">C32</f>
        <v>159280</v>
      </c>
      <c r="D42" s="317">
        <f ca="1">C33</f>
        <v>6496</v>
      </c>
      <c r="E42" s="317">
        <f ca="1">C34</f>
        <v>41750</v>
      </c>
      <c r="F42" s="318">
        <f ca="1">C35</f>
        <v>2783</v>
      </c>
      <c r="G42" s="311"/>
      <c r="H42" s="311"/>
      <c r="I42" s="319"/>
      <c r="J42" s="2016"/>
      <c r="K42" s="1267" t="s">
        <v>361</v>
      </c>
      <c r="L42" s="2033" t="s">
        <v>362</v>
      </c>
      <c r="M42" s="1268" t="s">
        <v>363</v>
      </c>
      <c r="N42" s="2034" t="s">
        <v>364</v>
      </c>
      <c r="O42" s="2035" t="s">
        <v>365</v>
      </c>
      <c r="P42" s="2014"/>
      <c r="V42" s="2014"/>
    </row>
    <row r="43" spans="1:26" ht="30">
      <c r="A43" s="3339" t="s">
        <v>2729</v>
      </c>
      <c r="B43" s="3340"/>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161512</v>
      </c>
      <c r="M43" s="1271">
        <f>C18</f>
        <v>0.5</v>
      </c>
      <c r="N43" s="1272">
        <f ca="1">IF(N42="测算结果/万元",G19,G20)</f>
        <v>159280</v>
      </c>
      <c r="O43" s="1273">
        <f ca="1">IF(O42="最终结果/万元",C32,C33)</f>
        <v>159280</v>
      </c>
      <c r="P43" s="2014"/>
      <c r="V43" s="2014"/>
    </row>
    <row r="44" spans="1:26" ht="30.6" thickBot="1">
      <c r="A44" s="3328" t="str">
        <f>IF(OR(项目基本情况!E8="抵押价格",项目基本情况!E8="已注销及未注销"),"3.抵押价格","——")</f>
        <v>3.抵押价格</v>
      </c>
      <c r="B44" s="3329"/>
      <c r="C44" s="264">
        <f ca="1">IF(A44="——","——",C42-C43)</f>
        <v>159280</v>
      </c>
      <c r="D44" s="317">
        <f ca="1">ROUND(C44*10000/'数据-汇总表'!E3,0)</f>
        <v>6496</v>
      </c>
      <c r="E44" s="317">
        <f ca="1">ROUND(C44*10000/'数据-汇总表'!D3,0)</f>
        <v>41750</v>
      </c>
      <c r="F44" s="318">
        <f ca="1">ROUND(C44/('数据-汇总表'!D3/666.67),0)</f>
        <v>2783</v>
      </c>
      <c r="G44" s="311"/>
      <c r="H44" s="311"/>
      <c r="I44" s="319"/>
      <c r="J44" s="2016"/>
      <c r="K44" s="1274" t="str">
        <f>D4</f>
        <v>剩余法-待开发</v>
      </c>
      <c r="L44" s="1275">
        <f ca="1">IF(L42="估价结果/万元",D19,D20)</f>
        <v>157048</v>
      </c>
      <c r="M44" s="1276">
        <f>D18</f>
        <v>0.5</v>
      </c>
      <c r="N44" s="1277"/>
      <c r="O44" s="1278"/>
      <c r="P44" s="2014"/>
      <c r="V44" s="2014"/>
    </row>
    <row r="45" spans="1:26" ht="13.8">
      <c r="A45" s="3334" t="str">
        <f>IF(项目基本情况!E8="已注销及未注销","4.抵押担保权已注销时的抵押价格",IF(项目基本情况!E8="已注销","3.抵押担保权已注销时的抵押价格","——"))</f>
        <v>——</v>
      </c>
      <c r="B45" s="333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30" t="str">
        <f>IF(项目基本情况!E9="抵押净值",IF(A45="——","4.抵押净值","5.抵押净值"),"——")</f>
        <v>4.抵押净值</v>
      </c>
      <c r="B46" s="3331"/>
      <c r="C46" s="320">
        <f ca="1">IF(A46="——","——",O79)</f>
        <v>110282</v>
      </c>
      <c r="D46" s="317">
        <f ca="1">ROUND(C46*10000/'数据-汇总表'!E3,0)</f>
        <v>4498</v>
      </c>
      <c r="E46" s="317">
        <f ca="1">ROUND(C46*10000/'数据-汇总表'!D3,0)</f>
        <v>28907</v>
      </c>
      <c r="F46" s="318">
        <f ca="1">ROUND(C46/('数据-汇总表'!D3/666.67),0)</f>
        <v>1927</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5" t="s">
        <v>374</v>
      </c>
      <c r="B63" s="3376"/>
      <c r="C63" s="3377"/>
      <c r="D63" s="341">
        <f ca="1">ROUND(C42*F63,0)</f>
        <v>159280</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36" t="s">
        <v>378</v>
      </c>
      <c r="B64" s="3337"/>
      <c r="C64" s="3337"/>
      <c r="D64" s="3337"/>
      <c r="E64" s="3337"/>
      <c r="F64" s="3337"/>
      <c r="G64" s="333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32" t="s">
        <v>386</v>
      </c>
      <c r="B66" s="3333"/>
      <c r="C66" s="3333"/>
      <c r="D66" s="261">
        <f ca="1">IF(H66="情况1",0,IF(H66="情况2",D70,IF(H66="情况3",D71,IF(H66="情况4",D72))))</f>
        <v>8495</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0" t="s">
        <v>385</v>
      </c>
      <c r="M66" s="3391"/>
      <c r="N66" s="2423"/>
      <c r="O66" s="2424"/>
      <c r="P66" s="2425"/>
      <c r="Q66" s="2014"/>
      <c r="R66" s="2014"/>
      <c r="S66" s="2014"/>
      <c r="T66" s="2014"/>
      <c r="U66" s="2014"/>
      <c r="V66" s="2014"/>
    </row>
    <row r="67" spans="1:22" ht="25.5" customHeight="1">
      <c r="A67" s="352" t="s">
        <v>390</v>
      </c>
      <c r="B67" s="3323" t="s">
        <v>391</v>
      </c>
      <c r="C67" s="3323"/>
      <c r="D67" s="353">
        <v>0</v>
      </c>
      <c r="E67" s="41" t="s">
        <v>392</v>
      </c>
      <c r="F67" s="62" t="s">
        <v>21</v>
      </c>
      <c r="G67" s="3378"/>
      <c r="H67" s="311"/>
      <c r="I67" s="1288"/>
      <c r="J67" s="2021"/>
      <c r="K67" s="1962">
        <v>2</v>
      </c>
      <c r="L67" s="3389" t="s">
        <v>389</v>
      </c>
      <c r="M67" s="3389"/>
      <c r="N67" s="1321">
        <f>'数据-取费表'!B2</f>
        <v>43657</v>
      </c>
      <c r="O67" s="1321"/>
      <c r="P67" s="1321"/>
      <c r="Q67" s="2014"/>
      <c r="R67" s="2014"/>
      <c r="S67" s="2014"/>
      <c r="T67" s="2014"/>
      <c r="U67" s="2014"/>
      <c r="V67" s="2014"/>
    </row>
    <row r="68" spans="1:22" ht="25.5" customHeight="1">
      <c r="A68" s="354"/>
      <c r="B68" s="3323" t="s">
        <v>394</v>
      </c>
      <c r="C68" s="3323"/>
      <c r="D68" s="355"/>
      <c r="E68" s="77"/>
      <c r="F68" s="356"/>
      <c r="G68" s="3379"/>
      <c r="H68" s="311"/>
      <c r="I68" s="1288"/>
      <c r="J68" s="2021"/>
      <c r="K68" s="1962">
        <v>3</v>
      </c>
      <c r="L68" s="3389" t="s">
        <v>393</v>
      </c>
      <c r="M68" s="3389"/>
      <c r="N68" s="1289">
        <f ca="1">C42</f>
        <v>159280</v>
      </c>
      <c r="O68" s="1289"/>
      <c r="P68" s="1289"/>
      <c r="Q68" s="2014"/>
      <c r="R68" s="2014"/>
      <c r="S68" s="2014"/>
      <c r="T68" s="2014"/>
      <c r="U68" s="2014"/>
      <c r="V68" s="2014"/>
    </row>
    <row r="69" spans="1:22" ht="12" customHeight="1">
      <c r="A69" s="357"/>
      <c r="B69" s="3323" t="s">
        <v>395</v>
      </c>
      <c r="C69" s="3323"/>
      <c r="D69" s="358"/>
      <c r="E69" s="73"/>
      <c r="F69" s="356"/>
      <c r="G69" s="3380"/>
      <c r="H69" s="311"/>
      <c r="I69" s="1288"/>
      <c r="J69" s="2021"/>
      <c r="K69" s="1290">
        <v>4</v>
      </c>
      <c r="L69" s="3394" t="s">
        <v>2882</v>
      </c>
      <c r="M69" s="3395"/>
      <c r="N69" s="1291">
        <f ca="1">C44</f>
        <v>159280</v>
      </c>
      <c r="O69" s="1291"/>
      <c r="P69" s="1291"/>
      <c r="Q69" s="2014"/>
      <c r="R69" s="2014"/>
      <c r="S69" s="2014"/>
      <c r="T69" s="2014"/>
      <c r="U69" s="2014"/>
      <c r="V69" s="2014"/>
    </row>
    <row r="70" spans="1:22" ht="24" customHeight="1">
      <c r="A70" s="359" t="s">
        <v>396</v>
      </c>
      <c r="B70" s="3323" t="s">
        <v>397</v>
      </c>
      <c r="C70" s="3323"/>
      <c r="D70" s="358">
        <f ca="1">ROUND(D63*'数据-取费表'!B41/(1+'数据-取费表'!C42),0)</f>
        <v>8495</v>
      </c>
      <c r="E70" s="17" t="s">
        <v>398</v>
      </c>
      <c r="F70" s="360">
        <f>'数据-取费表'!B41</f>
        <v>5.6000000000000001E-2</v>
      </c>
      <c r="G70" s="361"/>
      <c r="H70" s="311"/>
      <c r="I70" s="1288"/>
      <c r="J70" s="2021"/>
      <c r="K70" s="3014"/>
      <c r="L70" s="3015"/>
      <c r="M70" s="3015"/>
      <c r="N70" s="3016" t="s">
        <v>2886</v>
      </c>
      <c r="O70" s="3015"/>
      <c r="P70" s="3017"/>
      <c r="Q70" s="2014"/>
      <c r="R70" s="2014"/>
      <c r="S70" s="2014"/>
      <c r="T70" s="2014"/>
      <c r="U70" s="2014"/>
      <c r="V70" s="2014"/>
    </row>
    <row r="71" spans="1:22" ht="12" customHeight="1">
      <c r="A71" s="359" t="s">
        <v>404</v>
      </c>
      <c r="B71" s="3324" t="s">
        <v>405</v>
      </c>
      <c r="C71" s="3325"/>
      <c r="D71" s="358">
        <f ca="1">ROUND(D63*'数据-取费表'!B41/(1+'数据-取费表'!C42),0)</f>
        <v>8495</v>
      </c>
      <c r="E71" s="17" t="s">
        <v>398</v>
      </c>
      <c r="F71" s="360">
        <f>'数据-取费表'!B41</f>
        <v>5.6000000000000001E-2</v>
      </c>
      <c r="G71" s="361"/>
      <c r="H71" s="311"/>
      <c r="I71" s="1288"/>
      <c r="J71" s="2021"/>
      <c r="K71" s="3013" t="s">
        <v>399</v>
      </c>
      <c r="L71" s="3396" t="s">
        <v>400</v>
      </c>
      <c r="M71" s="3396"/>
      <c r="N71" s="3013" t="s">
        <v>401</v>
      </c>
      <c r="O71" s="3013" t="s">
        <v>402</v>
      </c>
      <c r="P71" s="3013" t="s">
        <v>403</v>
      </c>
      <c r="Q71" s="2014"/>
      <c r="R71" s="2014"/>
      <c r="S71" s="2014"/>
      <c r="T71" s="2014"/>
      <c r="U71" s="2014"/>
      <c r="V71" s="2014"/>
    </row>
    <row r="72" spans="1:22" ht="12" customHeight="1">
      <c r="A72" s="359" t="s">
        <v>407</v>
      </c>
      <c r="B72" s="3324" t="s">
        <v>408</v>
      </c>
      <c r="C72" s="3325"/>
      <c r="D72" s="358">
        <f ca="1">C86</f>
        <v>8383</v>
      </c>
      <c r="E72" s="73" t="s">
        <v>409</v>
      </c>
      <c r="F72" s="360">
        <f>'数据-取费表'!B41</f>
        <v>5.6000000000000001E-2</v>
      </c>
      <c r="G72" s="361"/>
      <c r="H72" s="1294"/>
      <c r="I72" s="1288"/>
      <c r="J72" s="2021"/>
      <c r="K72" s="1962">
        <v>1</v>
      </c>
      <c r="L72" s="3371" t="s">
        <v>406</v>
      </c>
      <c r="M72" s="3371"/>
      <c r="N72" s="1292">
        <f ca="1">D66</f>
        <v>8495</v>
      </c>
      <c r="O72" s="1845" t="str">
        <f>E66</f>
        <v>销售额×税（费）率</v>
      </c>
      <c r="P72" s="1293">
        <f>F66</f>
        <v>5.6000000000000001E-2</v>
      </c>
      <c r="Q72" s="2014"/>
      <c r="R72" s="2014"/>
      <c r="S72" s="2014"/>
      <c r="T72" s="2014"/>
      <c r="U72" s="2014"/>
      <c r="V72" s="2014"/>
    </row>
    <row r="73" spans="1:22" ht="24" customHeight="1">
      <c r="A73" s="3365" t="s">
        <v>411</v>
      </c>
      <c r="B73" s="3333"/>
      <c r="C73" s="3333"/>
      <c r="D73" s="362">
        <f ca="1">IF(H73="个人住宅",0,ROUND(D63*I73,0))</f>
        <v>80</v>
      </c>
      <c r="E73" s="17" t="s">
        <v>412</v>
      </c>
      <c r="F73" s="360">
        <f>IF(H73="正常",I73,"免征")</f>
        <v>5.0000000000000001E-4</v>
      </c>
      <c r="G73" s="361"/>
      <c r="H73" s="191" t="s">
        <v>3134</v>
      </c>
      <c r="I73" s="360">
        <f>'数据-取费表'!B49</f>
        <v>5.0000000000000001E-4</v>
      </c>
      <c r="J73" s="2021"/>
      <c r="K73" s="1962">
        <v>2</v>
      </c>
      <c r="L73" s="3371" t="s">
        <v>410</v>
      </c>
      <c r="M73" s="3371"/>
      <c r="N73" s="1292">
        <f t="shared" ref="N73:P74" ca="1" si="1">D73</f>
        <v>80</v>
      </c>
      <c r="O73" s="1845" t="str">
        <f t="shared" si="1"/>
        <v>销售额×税（费）率</v>
      </c>
      <c r="P73" s="1293">
        <f t="shared" si="1"/>
        <v>5.0000000000000001E-4</v>
      </c>
      <c r="Q73" s="2014"/>
      <c r="R73" s="2014"/>
      <c r="S73" s="2014"/>
      <c r="T73" s="2014"/>
      <c r="U73" s="2014"/>
      <c r="V73" s="2014"/>
    </row>
    <row r="74" spans="1:22" ht="25.2">
      <c r="A74" s="3365" t="s">
        <v>415</v>
      </c>
      <c r="B74" s="3333"/>
      <c r="C74" s="3333"/>
      <c r="D74" s="362">
        <f ca="1">IF(H74="个人住宅",D75,D76)</f>
        <v>40423</v>
      </c>
      <c r="E74" s="17" t="s">
        <v>416</v>
      </c>
      <c r="F74" s="360" t="str">
        <f>IF(H74="正常",F76,"免征")</f>
        <v>——</v>
      </c>
      <c r="G74" s="983" t="s">
        <v>417</v>
      </c>
      <c r="H74" s="363" t="s">
        <v>413</v>
      </c>
      <c r="I74" s="42"/>
      <c r="J74" s="2021"/>
      <c r="K74" s="1962">
        <v>3</v>
      </c>
      <c r="L74" s="3371" t="s">
        <v>414</v>
      </c>
      <c r="M74" s="3371"/>
      <c r="N74" s="1292">
        <f t="shared" ca="1" si="1"/>
        <v>40423</v>
      </c>
      <c r="O74" s="1845" t="str">
        <f t="shared" si="1"/>
        <v>增值额×税（费）率</v>
      </c>
      <c r="P74" s="1295" t="str">
        <f t="shared" si="1"/>
        <v>——</v>
      </c>
      <c r="Q74" s="2014"/>
      <c r="R74" s="2014"/>
      <c r="S74" s="2014"/>
      <c r="T74" s="2014"/>
      <c r="U74" s="2014"/>
      <c r="V74" s="2014"/>
    </row>
    <row r="75" spans="1:22" ht="13.2">
      <c r="A75" s="359" t="s">
        <v>418</v>
      </c>
      <c r="B75" s="3321" t="s">
        <v>419</v>
      </c>
      <c r="C75" s="3351"/>
      <c r="D75" s="364">
        <v>0</v>
      </c>
      <c r="E75" s="41" t="s">
        <v>420</v>
      </c>
      <c r="F75" s="365"/>
      <c r="G75" s="361"/>
      <c r="H75" s="42"/>
      <c r="I75" s="42"/>
      <c r="J75" s="2021"/>
      <c r="K75" s="3006" t="str">
        <f>IF(H77="非个人房产","",4)</f>
        <v/>
      </c>
      <c r="L75" s="3371" t="str">
        <f>IF(H77="非个人房产","——","个人所得税")</f>
        <v>——</v>
      </c>
      <c r="M75" s="3371"/>
      <c r="N75" s="1296" t="str">
        <f>D77</f>
        <v>——</v>
      </c>
      <c r="O75" s="1858" t="str">
        <f>E77</f>
        <v>——</v>
      </c>
      <c r="P75" s="1297" t="str">
        <f>F77</f>
        <v>——</v>
      </c>
      <c r="Q75" s="2014"/>
      <c r="R75" s="2014"/>
      <c r="S75" s="2014"/>
      <c r="T75" s="2014"/>
      <c r="U75" s="2014"/>
      <c r="V75" s="2014"/>
    </row>
    <row r="76" spans="1:22" ht="25.2">
      <c r="A76" s="359" t="s">
        <v>396</v>
      </c>
      <c r="B76" s="3321" t="s">
        <v>422</v>
      </c>
      <c r="C76" s="3322"/>
      <c r="D76" s="362">
        <f ca="1">IF(H76="转让取得",C99,C115)</f>
        <v>40423</v>
      </c>
      <c r="E76" s="17" t="s">
        <v>423</v>
      </c>
      <c r="F76" s="53" t="s">
        <v>21</v>
      </c>
      <c r="G76" s="361"/>
      <c r="H76" s="363" t="s">
        <v>424</v>
      </c>
      <c r="I76" s="42"/>
      <c r="J76" s="2021"/>
      <c r="K76" s="3006" t="str">
        <f>IF(项目基本情况!K6="上海银行",IF(K75="",4,K75+1),"")</f>
        <v/>
      </c>
      <c r="L76" s="3382" t="str">
        <f>IF(项目基本情况!K6="上海银行","其他处置费用","")</f>
        <v/>
      </c>
      <c r="M76" s="3383"/>
      <c r="N76" s="1292" t="str">
        <f>IF(项目基本情况!K6="上海银行",N89,"")</f>
        <v/>
      </c>
      <c r="O76" s="3384" t="str">
        <f>IF(项目基本情况!K6="上海银行","包含处置中涉及的律师、诉讼、拍卖、评估等费用","")</f>
        <v/>
      </c>
      <c r="P76" s="3385"/>
      <c r="Q76" s="2014"/>
      <c r="R76" s="2014"/>
      <c r="S76" s="2014"/>
      <c r="T76" s="2014"/>
      <c r="U76" s="2014"/>
      <c r="V76" s="2014"/>
    </row>
    <row r="77" spans="1:22" ht="24.6" thickBot="1">
      <c r="A77" s="3373" t="s">
        <v>426</v>
      </c>
      <c r="B77" s="3374"/>
      <c r="C77" s="3374"/>
      <c r="D77" s="366" t="str">
        <f>IF(H77="非个人房产","——",IF(H77="个人住宅",0,ROUND(D63*I77,0)))</f>
        <v>——</v>
      </c>
      <c r="E77" s="367" t="str">
        <f>IF(H77="非个人房产","——","销售额×税（费）率")</f>
        <v>——</v>
      </c>
      <c r="F77" s="368" t="str">
        <f>IF(H77="非个人房产","——",IF(H77="个人住宅","免征",I77))</f>
        <v>——</v>
      </c>
      <c r="G77" s="984" t="s">
        <v>417</v>
      </c>
      <c r="H77" s="363" t="s">
        <v>3220</v>
      </c>
      <c r="I77" s="369">
        <v>0.01</v>
      </c>
      <c r="J77" s="2021"/>
      <c r="K77" s="3372">
        <f>IF(AND(K75="",K76=""),4,IF(项目基本情况!K6="上海银行",K76+1,K75+1))</f>
        <v>4</v>
      </c>
      <c r="L77" s="3371" t="s">
        <v>2883</v>
      </c>
      <c r="M77" s="3012" t="s">
        <v>421</v>
      </c>
      <c r="N77" s="1298"/>
      <c r="O77" s="1299">
        <f ca="1">SUMIF(N72:N76,"&lt;9e307")</f>
        <v>48998</v>
      </c>
      <c r="P77" s="1300"/>
      <c r="Q77" s="3010">
        <f ca="1">O77/N69</f>
        <v>0.30762179809141132</v>
      </c>
      <c r="R77" s="2014"/>
      <c r="S77" s="2014"/>
      <c r="T77" s="2014"/>
      <c r="U77" s="2014"/>
      <c r="V77" s="2014"/>
    </row>
    <row r="78" spans="1:22" ht="12" customHeight="1">
      <c r="A78" s="1301"/>
      <c r="B78" s="311"/>
      <c r="C78" s="311"/>
      <c r="D78" s="311"/>
      <c r="E78" s="42"/>
      <c r="F78" s="42"/>
      <c r="G78" s="42"/>
      <c r="H78" s="1003"/>
      <c r="I78" s="311"/>
      <c r="J78" s="2021"/>
      <c r="K78" s="3372"/>
      <c r="L78" s="3371"/>
      <c r="M78" s="3012" t="s">
        <v>425</v>
      </c>
      <c r="N78" s="1298"/>
      <c r="O78" s="1299" t="str">
        <f ca="1">NUMBERSTRING(INT(O77*10000),2)&amp;"元整"</f>
        <v>肆亿捌仟玖佰玖拾捌万元整</v>
      </c>
      <c r="P78" s="1300"/>
      <c r="Q78" s="2014"/>
      <c r="R78" s="2014"/>
      <c r="S78" s="2014"/>
      <c r="T78" s="2014"/>
      <c r="U78" s="2014"/>
      <c r="V78" s="2014"/>
    </row>
    <row r="79" spans="1:22" ht="13.8" thickBot="1">
      <c r="A79" s="3366" t="s">
        <v>427</v>
      </c>
      <c r="B79" s="3366"/>
      <c r="C79" s="3366"/>
      <c r="D79" s="3366"/>
      <c r="E79" s="3366"/>
      <c r="F79" s="42"/>
      <c r="G79" s="42"/>
      <c r="H79" s="1003"/>
      <c r="I79" s="311"/>
      <c r="J79" s="2021"/>
      <c r="K79" s="3392">
        <f>K77+1</f>
        <v>5</v>
      </c>
      <c r="L79" s="3371" t="s">
        <v>2884</v>
      </c>
      <c r="M79" s="3012" t="s">
        <v>421</v>
      </c>
      <c r="N79" s="1298"/>
      <c r="O79" s="1299">
        <f ca="1">N69-O77</f>
        <v>110282</v>
      </c>
      <c r="P79" s="1300"/>
      <c r="Q79" s="2014"/>
      <c r="R79" s="2014"/>
      <c r="S79" s="2014"/>
      <c r="T79" s="2014"/>
      <c r="U79" s="2014"/>
      <c r="V79" s="2014"/>
    </row>
    <row r="80" spans="1:22" ht="39.6">
      <c r="A80" s="3361" t="s">
        <v>428</v>
      </c>
      <c r="B80" s="3362"/>
      <c r="C80" s="994"/>
      <c r="D80" s="994" t="s">
        <v>429</v>
      </c>
      <c r="E80" s="370" t="s">
        <v>430</v>
      </c>
      <c r="F80" s="42"/>
      <c r="G80" s="42"/>
      <c r="H80" s="1003"/>
      <c r="I80" s="311"/>
      <c r="J80" s="2014"/>
      <c r="K80" s="3393"/>
      <c r="L80" s="3371"/>
      <c r="M80" s="3012" t="s">
        <v>425</v>
      </c>
      <c r="N80" s="1298"/>
      <c r="O80" s="1299" t="str">
        <f ca="1">NUMBERSTRING(INT(O79*10000),2)&amp;"元整"</f>
        <v>壹拾壹亿零贰佰捌拾贰万元整</v>
      </c>
      <c r="P80" s="1300"/>
      <c r="Q80" s="2014"/>
      <c r="R80" s="2014"/>
      <c r="S80" s="2014"/>
      <c r="T80" s="2014"/>
      <c r="U80" s="2014"/>
      <c r="V80" s="2014"/>
    </row>
    <row r="81" spans="1:26" ht="13.8" thickBot="1">
      <c r="A81" s="381" t="s">
        <v>1823</v>
      </c>
      <c r="B81" s="371" t="s">
        <v>431</v>
      </c>
      <c r="C81" s="372">
        <f ca="1">ROUND((C82+C83)/(1+'数据-取费表'!C42),0)</f>
        <v>151695</v>
      </c>
      <c r="D81" s="373"/>
      <c r="E81" s="374"/>
      <c r="F81" s="42"/>
      <c r="G81" s="42"/>
      <c r="H81" s="1003"/>
      <c r="I81" s="311"/>
      <c r="J81" s="2014"/>
      <c r="K81" s="3006">
        <f>K79+1</f>
        <v>6</v>
      </c>
      <c r="L81" s="3369" t="s">
        <v>2885</v>
      </c>
      <c r="M81" s="3370"/>
      <c r="N81" s="1302"/>
      <c r="O81" s="1303">
        <f ca="1">ROUND(O79*10000/'数据-汇总表'!E3,0)</f>
        <v>4498</v>
      </c>
      <c r="P81" s="1304"/>
      <c r="Q81" s="2014"/>
      <c r="R81" s="2014"/>
      <c r="S81" s="2014"/>
      <c r="T81" s="2014"/>
      <c r="U81" s="2014"/>
      <c r="V81" s="2014"/>
    </row>
    <row r="82" spans="1:26" ht="13.8" thickTop="1">
      <c r="A82" s="375" t="s">
        <v>1824</v>
      </c>
      <c r="B82" s="376" t="s">
        <v>432</v>
      </c>
      <c r="C82" s="377">
        <f ca="1">D63</f>
        <v>159280</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381" t="s">
        <v>2873</v>
      </c>
      <c r="L83" s="3018" t="s">
        <v>2874</v>
      </c>
      <c r="M83" s="3008">
        <f ca="1">IF(N69&gt;10000,N69*0.5%,IF(AND(N69&gt;1000,N69&lt;=10000),N69*1%,IF(AND(N69&gt;100,N69&lt;=1000),N69*3%,IF(AND(N69&gt;10,N69&lt;=100),N69*5%,N69*8%))))</f>
        <v>796.4</v>
      </c>
      <c r="N83" s="53">
        <f ca="1">ROUND(M83,1)</f>
        <v>796.4</v>
      </c>
      <c r="O83" s="3011"/>
      <c r="P83" s="2014"/>
      <c r="Q83" s="2014"/>
      <c r="R83" s="2014"/>
      <c r="S83" s="2014"/>
      <c r="T83" s="2014"/>
      <c r="U83" s="2014"/>
      <c r="V83" s="2014"/>
    </row>
    <row r="84" spans="1:26" ht="25.2">
      <c r="A84" s="381" t="s">
        <v>1826</v>
      </c>
      <c r="B84" s="382" t="s">
        <v>434</v>
      </c>
      <c r="C84" s="383">
        <v>2000</v>
      </c>
      <c r="D84" s="384" t="s">
        <v>19</v>
      </c>
      <c r="E84" s="3053" t="s">
        <v>2940</v>
      </c>
      <c r="F84" s="42"/>
      <c r="G84" s="42"/>
      <c r="H84" s="1003"/>
      <c r="I84" s="311"/>
      <c r="J84" s="2014"/>
      <c r="K84" s="3381"/>
      <c r="L84" s="3018" t="s">
        <v>2875</v>
      </c>
      <c r="M84" s="3008">
        <f ca="1">IF(N69&gt;2000,N69*0.5%,IF(AND(N69&gt;1000,N69&lt;=2000),N69*0.6%,IF(AND(N69&gt;500,N69&lt;=1000),N69*0.7%,IF(AND(N69&gt;200,N69&lt;=500),N69*0.8%,IF(AND(N69&gt;100,N69&lt;=200),N69*0.9%,IF(AND(N69&gt;50,N69&lt;=100),N69*1%,IF(AND(N69&gt;20,N69&lt;=50),N69*1.5%,IF(AND(N69&gt;10,N69&lt;=20),N69*2%,IF(AND(N69&gt;1,N69&lt;=10),N69*2.5%)))))))))</f>
        <v>796.4</v>
      </c>
      <c r="N84" s="53">
        <f t="shared" ref="N84:N85" ca="1" si="2">ROUND(M84,1)</f>
        <v>796.4</v>
      </c>
      <c r="O84" s="2014" t="s">
        <v>2876</v>
      </c>
      <c r="P84" s="3231">
        <f ca="1">N68-O77</f>
        <v>110282</v>
      </c>
      <c r="Q84" s="2014"/>
      <c r="R84" s="2014"/>
      <c r="S84" s="2014"/>
      <c r="T84" s="2014"/>
      <c r="U84" s="2014"/>
      <c r="V84" s="2014"/>
    </row>
    <row r="85" spans="1:26" ht="13.2">
      <c r="A85" s="381" t="s">
        <v>1827</v>
      </c>
      <c r="B85" s="382" t="s">
        <v>435</v>
      </c>
      <c r="C85" s="385">
        <f ca="1">C81-C84</f>
        <v>149695</v>
      </c>
      <c r="D85" s="378" t="s">
        <v>19</v>
      </c>
      <c r="E85" s="379"/>
      <c r="F85" s="42"/>
      <c r="G85" s="42"/>
      <c r="H85" s="1003"/>
      <c r="I85" s="311"/>
      <c r="J85" s="2014"/>
      <c r="K85" s="3381"/>
      <c r="L85" s="3018" t="s">
        <v>2877</v>
      </c>
      <c r="M85" s="3008">
        <f ca="1">IF(N69&gt;1000,N69*0.1%,IF(AND(N69&gt;500,N69&lt;=1000),N69*0.5%,IF(AND(N69&gt;50,N69&lt;=500),N69*1%,IF(AND(N69&gt;1,N69&lt;=50),N69*1.5%))))</f>
        <v>159.28</v>
      </c>
      <c r="N85" s="53">
        <f t="shared" ca="1" si="2"/>
        <v>159.30000000000001</v>
      </c>
      <c r="O85" s="2014" t="s">
        <v>2876</v>
      </c>
      <c r="P85" s="2014"/>
      <c r="Q85" s="2014"/>
      <c r="R85" s="2014"/>
      <c r="S85" s="2014"/>
      <c r="T85" s="2014"/>
      <c r="U85" s="2014"/>
      <c r="V85" s="2014"/>
    </row>
    <row r="86" spans="1:26" ht="13.8" thickBot="1">
      <c r="A86" s="386" t="s">
        <v>1828</v>
      </c>
      <c r="B86" s="387" t="s">
        <v>436</v>
      </c>
      <c r="C86" s="388">
        <f ca="1">IF(C85&lt;=0,0,ROUND(C85*D86,0))</f>
        <v>8383</v>
      </c>
      <c r="D86" s="389">
        <f>'数据-取费表'!B41</f>
        <v>5.6000000000000001E-2</v>
      </c>
      <c r="E86" s="390"/>
      <c r="F86" s="42"/>
      <c r="G86" s="42"/>
      <c r="H86" s="1003"/>
      <c r="I86" s="311"/>
      <c r="J86" s="2014"/>
      <c r="K86" s="3381"/>
      <c r="L86" s="3018" t="s">
        <v>2878</v>
      </c>
      <c r="M86" s="3008">
        <f ca="1">N69*0.5%</f>
        <v>796.4</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1"/>
      <c r="L87" s="3018" t="s">
        <v>2880</v>
      </c>
      <c r="M87" s="3008">
        <f ca="1">IF(N69&gt;=10000,(8.25+(N69-10000)*0.01%),IF(AND(N69&gt;=8000,N69&lt;10000),(7.85+(N69-8000)*0.02%),IF(AND(N69&gt;=5000,N69&lt;8000),(6.65+(N69-5000)*0.04%),IF(AND(N69&gt;=2000,N69&lt;5000),(4.25+(PN69-2000)*0.08%),IF(AND(N69&gt;=1000,N69&lt;2000),(2.75+(N69-1000)*0.15%),IF(AND(N69&gt;=100,N69&lt;1000),(0.5+(N69-100)*0.25%),IF(AND(N69&gt;0,N69&lt;100),N69*0.5%)))))))</f>
        <v>23.178000000000001</v>
      </c>
      <c r="N87" s="53">
        <f ca="1">ROUND(M87*0.9,1)</f>
        <v>20.9</v>
      </c>
      <c r="O87" s="3011"/>
      <c r="P87" s="311"/>
      <c r="Q87" s="2014"/>
      <c r="R87" s="2014"/>
      <c r="S87" s="2014"/>
      <c r="T87" s="2014"/>
      <c r="U87" s="2014"/>
      <c r="V87" s="2014"/>
      <c r="W87" s="292"/>
      <c r="X87" s="292"/>
      <c r="Y87" s="292"/>
      <c r="Z87" s="292"/>
    </row>
    <row r="88" spans="1:26" s="1310" customFormat="1" ht="14.4" thickBot="1">
      <c r="A88" s="3363" t="s">
        <v>437</v>
      </c>
      <c r="B88" s="3364"/>
      <c r="C88" s="3364"/>
      <c r="D88" s="3364"/>
      <c r="E88" s="3364"/>
      <c r="F88" s="3364"/>
      <c r="G88" s="3364"/>
      <c r="H88" s="3364"/>
      <c r="I88" s="1311"/>
      <c r="J88" s="2022"/>
      <c r="K88" s="3381"/>
      <c r="L88" s="3018" t="s">
        <v>2881</v>
      </c>
      <c r="M88" s="3008">
        <f ca="1">IF(N69&gt;10000,N69*0.5%,IF(AND(N69&gt;5000,N69&lt;=10000),N69*1%,IF(AND(N69&gt;1000,N69&lt;=5000),N69*2%,IF(AND(N69&gt;200,N69&lt;=1000),N69*3%,N69*5%))))</f>
        <v>796.4</v>
      </c>
      <c r="N88" s="53">
        <f ca="1">ROUND(M88,1)</f>
        <v>796.4</v>
      </c>
      <c r="O88" s="3011"/>
      <c r="P88" s="11"/>
      <c r="Q88" s="2019"/>
      <c r="R88" s="2019"/>
      <c r="S88" s="2019"/>
      <c r="T88" s="2019"/>
      <c r="U88" s="2019"/>
      <c r="V88" s="2019"/>
      <c r="W88" s="2023"/>
      <c r="X88" s="2023"/>
      <c r="Y88" s="2023"/>
      <c r="Z88" s="2023"/>
    </row>
    <row r="89" spans="1:26" s="1310" customFormat="1" ht="13.8">
      <c r="A89" s="3361" t="s">
        <v>428</v>
      </c>
      <c r="B89" s="3362"/>
      <c r="C89" s="994"/>
      <c r="D89" s="994" t="s">
        <v>429</v>
      </c>
      <c r="E89" s="391" t="s">
        <v>438</v>
      </c>
      <c r="F89" s="392"/>
      <c r="G89" s="392"/>
      <c r="H89" s="393"/>
      <c r="I89" s="1312"/>
      <c r="J89" s="2024"/>
      <c r="K89" s="3381"/>
      <c r="L89" s="3018" t="s">
        <v>27</v>
      </c>
      <c r="M89" s="3009"/>
      <c r="N89" s="53">
        <f ca="1">ROUND(SUM(N83:N88),0)</f>
        <v>2570</v>
      </c>
      <c r="O89" s="3019">
        <f ca="1">N89/N69</f>
        <v>1.6135107985936717E-2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151695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3471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4" t="s">
        <v>447</v>
      </c>
      <c r="F94" s="3323"/>
      <c r="G94" s="3323"/>
      <c r="H94" s="336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910</v>
      </c>
      <c r="D96" s="406">
        <f>'数据-取费表'!B43</f>
        <v>6.000000000000001E-3</v>
      </c>
      <c r="E96" s="3352" t="s">
        <v>2428</v>
      </c>
      <c r="F96" s="3353"/>
      <c r="G96" s="3353"/>
      <c r="H96" s="335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148224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42.703543647363873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87720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63" t="s">
        <v>454</v>
      </c>
      <c r="B101" s="3364"/>
      <c r="C101" s="3364"/>
      <c r="D101" s="3364"/>
      <c r="E101" s="3364"/>
      <c r="F101" s="3364"/>
      <c r="G101" s="3364"/>
      <c r="H101" s="336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61" t="s">
        <v>428</v>
      </c>
      <c r="B102" s="336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151695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54499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48717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47275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1442</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55" t="s">
        <v>462</v>
      </c>
      <c r="F109" s="3353"/>
      <c r="G109" s="3353"/>
      <c r="H109" s="1927" t="s">
        <v>2279</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4872</v>
      </c>
      <c r="D110" s="406">
        <v>0.1</v>
      </c>
      <c r="E110" s="3355" t="s">
        <v>464</v>
      </c>
      <c r="F110" s="3353"/>
      <c r="G110" s="3353"/>
      <c r="H110" s="335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910</v>
      </c>
      <c r="D111" s="406">
        <f>'数据-取费表'!B43</f>
        <v>6.000000000000001E-3</v>
      </c>
      <c r="E111" s="3352" t="s">
        <v>2428</v>
      </c>
      <c r="F111" s="3353"/>
      <c r="G111" s="3353"/>
      <c r="H111" s="335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5" t="s">
        <v>2453</v>
      </c>
      <c r="F112" s="3353"/>
      <c r="G112" s="3353"/>
      <c r="H112" s="335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97196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1.7834455678085837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40423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115" zoomScaleNormal="115" workbookViewId="0">
      <selection activeCell="D16" sqref="D16"/>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157048</v>
      </c>
      <c r="C2" s="2090"/>
      <c r="D2" s="2090"/>
      <c r="E2" s="2090"/>
      <c r="F2" s="2090"/>
      <c r="G2" s="2090"/>
      <c r="H2" s="2090"/>
      <c r="I2" s="2090"/>
      <c r="J2" s="2090"/>
      <c r="K2" s="2090"/>
    </row>
    <row r="3" spans="1:31" s="2027" customFormat="1" ht="18" customHeight="1">
      <c r="A3" s="2092" t="s">
        <v>1684</v>
      </c>
      <c r="B3" s="2093">
        <f ca="1">ROUND(B2*10000/IF(B1="",'数据-汇总表'!E3,INDIRECT("'数据-取费表'!K"&amp;$K$1)),0)</f>
        <v>6405</v>
      </c>
      <c r="C3" s="2090"/>
      <c r="D3" s="2090"/>
      <c r="E3" s="2090"/>
      <c r="F3" s="2090"/>
      <c r="G3" s="2090"/>
      <c r="H3" s="2090"/>
      <c r="I3" s="2090"/>
      <c r="J3" s="2090"/>
      <c r="K3" s="2090"/>
    </row>
    <row r="4" spans="1:31" s="2027" customFormat="1" ht="18" customHeight="1">
      <c r="A4" s="426" t="s">
        <v>468</v>
      </c>
      <c r="B4" s="427">
        <f ca="1">ROUND(B2*10000/IF(B1="",'数据-汇总表'!D3,INDIRECT("'数据-取费表'!R"&amp;$K$1)),0)</f>
        <v>41165</v>
      </c>
      <c r="C4" s="428"/>
      <c r="D4" s="422"/>
      <c r="E4" s="422"/>
      <c r="F4" s="422"/>
      <c r="G4" s="422"/>
      <c r="H4" s="422"/>
      <c r="I4" s="422"/>
      <c r="J4" s="422"/>
      <c r="K4" s="422"/>
    </row>
    <row r="5" spans="1:31" s="2027" customFormat="1" ht="18" customHeight="1" thickBot="1">
      <c r="A5" s="429"/>
      <c r="B5" s="430">
        <f ca="1">ROUND(B2/(IF(B1="",'数据-汇总表'!D3,INDIRECT("'数据-取费表'!R"&amp;$K$1))/666.67),0)</f>
        <v>2744</v>
      </c>
      <c r="C5" s="431" t="s">
        <v>469</v>
      </c>
      <c r="D5" s="422"/>
      <c r="E5" s="422"/>
      <c r="F5" s="422"/>
      <c r="G5" s="422"/>
      <c r="H5" s="422"/>
      <c r="I5" s="422"/>
      <c r="J5" s="422"/>
      <c r="K5" s="422"/>
    </row>
    <row r="6" spans="1:31" s="2097" customFormat="1" ht="16.5" customHeight="1">
      <c r="A6" s="2784" t="s">
        <v>1842</v>
      </c>
      <c r="B6" s="2785"/>
      <c r="C6" s="2786">
        <f ca="1">SUM(C10:K10)</f>
        <v>314614</v>
      </c>
      <c r="D6" s="2785"/>
      <c r="E6" s="2785"/>
      <c r="F6" s="2785"/>
      <c r="G6" s="2785"/>
      <c r="H6" s="2785"/>
      <c r="I6" s="2785"/>
      <c r="J6" s="2785"/>
      <c r="K6" s="2787"/>
    </row>
    <row r="7" spans="1:31" s="2099" customFormat="1" ht="14.4">
      <c r="A7" s="2788" t="s">
        <v>470</v>
      </c>
      <c r="B7" s="2789" t="s">
        <v>471</v>
      </c>
      <c r="C7" s="436" t="s">
        <v>923</v>
      </c>
      <c r="D7" s="436" t="s">
        <v>3000</v>
      </c>
      <c r="E7" s="436" t="s">
        <v>3208</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23976</v>
      </c>
      <c r="E8" s="2790">
        <f ca="1">'不动产收益法 (车库'!B3</f>
        <v>370</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181084.41</v>
      </c>
      <c r="D9" s="441">
        <f>SUMIF('数据-汇总表'!$C19:$C33,'剩余法-待开发'!D7,'数据-汇总表'!$E19:$E33)</f>
        <v>4796.9399999999996</v>
      </c>
      <c r="E9" s="441">
        <f>SUMIF('数据-汇总表'!$C19:$C33,'剩余法-待开发'!E7,'数据-汇总表'!$E19:$E33)</f>
        <v>51281.989903754205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301216</v>
      </c>
      <c r="D10" s="2982">
        <f ca="1">不动产收益法!B2</f>
        <v>11501</v>
      </c>
      <c r="E10" s="2982">
        <f ca="1">'不动产收益法 (车库'!B2</f>
        <v>1897</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54474</v>
      </c>
      <c r="D13" s="2800"/>
      <c r="E13" s="2801"/>
      <c r="F13" s="2802"/>
      <c r="G13" s="2768"/>
      <c r="H13" s="2769"/>
      <c r="I13" s="2769"/>
      <c r="J13" s="2769"/>
      <c r="K13" s="2770"/>
    </row>
    <row r="14" spans="1:31" s="2102" customFormat="1" ht="13.5" customHeight="1">
      <c r="A14" s="2798" t="s">
        <v>1849</v>
      </c>
      <c r="B14" s="2799" t="s">
        <v>480</v>
      </c>
      <c r="C14" s="53">
        <f ca="1">ROUND(C13*F14,0)</f>
        <v>1634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2082</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4904</v>
      </c>
      <c r="D16" s="2800">
        <f ca="1">IF(B1="",'数据-汇总表'!E3,INDIRECT("'数据-取费表'!K"&amp;$K$1)+INDIRECT("'数据-取费表'!S"&amp;$K$1))</f>
        <v>245201.18990375422</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245201.18990375422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2942</v>
      </c>
      <c r="D20" s="2810"/>
      <c r="E20" s="2764"/>
      <c r="F20" s="2811"/>
      <c r="G20" s="3041"/>
      <c r="H20" s="2766"/>
      <c r="I20" s="2767" t="s">
        <v>2650</v>
      </c>
      <c r="J20" s="2773"/>
      <c r="K20" s="2774"/>
    </row>
    <row r="21" spans="1:14" s="2102" customFormat="1" ht="13.5" customHeight="1">
      <c r="A21" s="2798" t="s">
        <v>1856</v>
      </c>
      <c r="B21" s="2799" t="s">
        <v>491</v>
      </c>
      <c r="C21" s="53">
        <f ca="1">ROUND(D21*E21/10000,0)</f>
        <v>2173</v>
      </c>
      <c r="D21" s="2800">
        <f ca="1">IF(B1="",'数据-汇总表'!E5,IF(INDIRECT("'数据-取费表'!c"&amp;$K$1)="住宅",INDIRECT("'数据-取费表'!k"&amp;$K$1),0))</f>
        <v>181084.41</v>
      </c>
      <c r="E21" s="53">
        <f>'数据-取费表'!B27</f>
        <v>120</v>
      </c>
      <c r="F21" s="2803"/>
      <c r="G21" s="26"/>
      <c r="H21" s="51"/>
      <c r="I21" s="51"/>
      <c r="J21" s="51"/>
      <c r="K21" s="2775"/>
    </row>
    <row r="22" spans="1:14" s="2102" customFormat="1" ht="13.5" customHeight="1">
      <c r="A22" s="2798" t="s">
        <v>1857</v>
      </c>
      <c r="B22" s="2799" t="s">
        <v>492</v>
      </c>
      <c r="C22" s="53">
        <f ca="1">ROUND(D22*E22/10000,0)</f>
        <v>769</v>
      </c>
      <c r="D22" s="2800">
        <f ca="1">IF(B1="",'数据-汇总表'!E6,IF(INDIRECT("'数据-取费表'!c"&amp;$K$1)="住宅",INDIRECT("'数据-取费表'!s"&amp;$K$1),INDIRECT("'数据-取费表'!k"&amp;$K$1)+INDIRECT("'数据-取费表'!s"&amp;$K$1)))</f>
        <v>64116.779903754214</v>
      </c>
      <c r="E22" s="53">
        <f>'数据-取费表'!B28</f>
        <v>120</v>
      </c>
      <c r="F22" s="2803"/>
      <c r="G22" s="26"/>
      <c r="H22" s="51"/>
      <c r="I22" s="51"/>
      <c r="J22" s="51"/>
      <c r="K22" s="2775"/>
    </row>
    <row r="23" spans="1:14" s="2102" customFormat="1" ht="13.5" customHeight="1">
      <c r="A23" s="2806" t="s">
        <v>1858</v>
      </c>
      <c r="B23" s="2988" t="s">
        <v>2833</v>
      </c>
      <c r="C23" s="2808">
        <f ca="1">ROUND((C18+C19+C20)*F23,0)</f>
        <v>1337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6292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'数据-取费表'!B48+'数据-取费表'!B49</f>
        <v>3.0499999999999999E-2</v>
      </c>
      <c r="G25" s="2776" t="s">
        <v>2289</v>
      </c>
      <c r="H25" s="2769"/>
      <c r="I25" s="2769"/>
      <c r="J25" s="2769"/>
      <c r="K25" s="2770"/>
    </row>
    <row r="26" spans="1:14" s="2104" customFormat="1" ht="13.5" customHeight="1">
      <c r="A26" s="2806" t="s">
        <v>1861</v>
      </c>
      <c r="B26" s="2989" t="s">
        <v>2835</v>
      </c>
      <c r="C26" s="2813">
        <f ca="1">C28</f>
        <v>3538</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3538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16779</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94799</v>
      </c>
      <c r="D30" s="477">
        <f ca="1">C32</f>
        <v>0.12909999999999999</v>
      </c>
      <c r="E30" s="469" t="s">
        <v>495</v>
      </c>
      <c r="F30" s="471"/>
      <c r="G30" s="2776" t="s">
        <v>2972</v>
      </c>
      <c r="H30" s="2769"/>
      <c r="I30" s="2769"/>
      <c r="J30" s="2769"/>
      <c r="K30" s="2770"/>
    </row>
    <row r="31" spans="1:14" s="2106" customFormat="1" ht="13.5" customHeight="1">
      <c r="A31" s="803" t="s">
        <v>1856</v>
      </c>
      <c r="B31" s="2814"/>
      <c r="C31" s="450">
        <f ca="1">C18+C19+C20+C23+C24+C26+C29</f>
        <v>94799</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13407</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13407</v>
      </c>
      <c r="D35" s="1615"/>
      <c r="E35" s="2820"/>
      <c r="F35" s="1616"/>
      <c r="G35" s="2778"/>
      <c r="H35" s="2779"/>
      <c r="I35" s="2779"/>
      <c r="J35" s="2779"/>
      <c r="K35" s="2780"/>
    </row>
    <row r="36" spans="1:11" s="2071" customFormat="1" ht="13.5" customHeight="1" thickBot="1">
      <c r="A36" s="284" t="s">
        <v>1844</v>
      </c>
      <c r="B36" s="2782"/>
      <c r="C36" s="2821">
        <f ca="1">ROUND((C6-C30-C33)/(1+D30+D33),0)</f>
        <v>157048</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32" t="str">
        <f>项目基本情况!B1</f>
        <v>k5雅苑出让国有建设用地使用权抵押价格预评估</v>
      </c>
      <c r="C37" s="3232"/>
      <c r="D37" s="3232"/>
      <c r="E37" s="3232"/>
      <c r="F37" s="3232"/>
      <c r="G37" s="3232"/>
      <c r="H37" s="3232"/>
      <c r="I37" s="3232"/>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54474</v>
      </c>
      <c r="D13" s="451"/>
      <c r="E13" s="365"/>
      <c r="F13" s="452"/>
      <c r="G13" s="444"/>
      <c r="H13" s="447"/>
      <c r="I13" s="447"/>
      <c r="J13" s="447"/>
      <c r="K13" s="448"/>
    </row>
    <row r="14" spans="1:41" s="2102" customFormat="1" ht="13.5" customHeight="1">
      <c r="A14" s="1619" t="s">
        <v>1849</v>
      </c>
      <c r="B14" s="449" t="s">
        <v>480</v>
      </c>
      <c r="C14" s="53">
        <f ca="1">ROUND(C13*F14,0)</f>
        <v>1634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2082</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4904</v>
      </c>
      <c r="D16" s="451">
        <f ca="1">IF(B1="",'数据-汇总表'!E3,INDIRECT("'数据-取费表'!K"&amp;$K$1)+INDIRECT("'数据-取费表'!S"&amp;$K$1))</f>
        <v>245201.18990375422</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63911</v>
      </c>
      <c r="D18" s="461"/>
      <c r="E18" s="462"/>
      <c r="F18" s="462"/>
      <c r="G18" s="1323" t="s">
        <v>2432</v>
      </c>
      <c r="H18" s="447"/>
      <c r="I18" s="447"/>
      <c r="J18" s="447"/>
      <c r="K18" s="448"/>
    </row>
    <row r="19" spans="1:14" s="2105" customFormat="1" ht="13.5" customHeight="1">
      <c r="A19" s="1620" t="s">
        <v>1854</v>
      </c>
      <c r="B19" s="459" t="s">
        <v>493</v>
      </c>
      <c r="C19" s="460">
        <f ca="1">ROUND(C18*F19,0)</f>
        <v>1278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3096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11734</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11734</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86779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8" sqref="E58"/>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161512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6587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42335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2822</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406" t="s">
        <v>522</v>
      </c>
      <c r="D6" s="3407"/>
      <c r="E6" s="3406" t="s">
        <v>523</v>
      </c>
      <c r="F6" s="3407"/>
      <c r="G6" s="3406" t="s">
        <v>524</v>
      </c>
      <c r="H6" s="3407"/>
      <c r="I6" s="3406" t="s">
        <v>525</v>
      </c>
      <c r="J6" s="3407"/>
      <c r="K6" s="514" t="s">
        <v>526</v>
      </c>
      <c r="L6" s="2119"/>
      <c r="M6" s="2118"/>
      <c r="N6" s="2118"/>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30" ht="21">
      <c r="A7" s="515"/>
      <c r="B7" s="516"/>
      <c r="C7" s="3422" t="s">
        <v>2929</v>
      </c>
      <c r="D7" s="3423"/>
      <c r="E7" s="3422" t="str">
        <f>土地案例!A3</f>
        <v>洪山区雄楚大道与珞狮南路交汇处西南部</v>
      </c>
      <c r="F7" s="3423"/>
      <c r="G7" s="3422" t="str">
        <f>土地案例!A16</f>
        <v>洪山区青菱西路以东、白沙五路以南、滨河路以北</v>
      </c>
      <c r="H7" s="3423"/>
      <c r="I7" s="3422" t="str">
        <f>土地案例!A13</f>
        <v>洪山区南湖北岸、卓刀泉南路以西</v>
      </c>
      <c r="J7" s="3423"/>
      <c r="K7" s="514"/>
      <c r="L7" s="2119"/>
      <c r="M7" s="2118"/>
      <c r="N7" s="2118"/>
      <c r="O7" s="2120"/>
      <c r="P7" s="3410"/>
      <c r="Q7" s="3411"/>
      <c r="R7" s="3416"/>
      <c r="S7" s="3417"/>
      <c r="T7" s="3416"/>
      <c r="U7" s="3417"/>
      <c r="V7" s="3401"/>
      <c r="W7" s="3401"/>
      <c r="X7" s="1554"/>
      <c r="Y7" s="3416"/>
      <c r="Z7" s="3417"/>
      <c r="AA7" s="3404"/>
      <c r="AB7" s="3404"/>
      <c r="AC7" s="3404"/>
    </row>
    <row r="8" spans="1:30" ht="21.6" thickBot="1">
      <c r="A8" s="515"/>
      <c r="B8" s="516"/>
      <c r="C8" s="3424" t="s">
        <v>2933</v>
      </c>
      <c r="D8" s="3425"/>
      <c r="E8" s="3424" t="s">
        <v>2933</v>
      </c>
      <c r="F8" s="3425"/>
      <c r="G8" s="3420" t="s">
        <v>2933</v>
      </c>
      <c r="H8" s="3421"/>
      <c r="I8" s="3420" t="s">
        <v>2933</v>
      </c>
      <c r="J8" s="3421"/>
      <c r="K8" s="514" t="s">
        <v>528</v>
      </c>
      <c r="L8" s="2119"/>
      <c r="M8" s="2118"/>
      <c r="N8" s="2118"/>
      <c r="O8" s="2120"/>
      <c r="P8" s="3412"/>
      <c r="Q8" s="3413"/>
      <c r="R8" s="3416"/>
      <c r="S8" s="3417"/>
      <c r="T8" s="3418"/>
      <c r="U8" s="3419"/>
      <c r="V8" s="3401"/>
      <c r="W8" s="3401"/>
      <c r="X8" s="1554"/>
      <c r="Y8" s="3418"/>
      <c r="Z8" s="3419"/>
      <c r="AA8" s="3405"/>
      <c r="AB8" s="3405"/>
      <c r="AC8" s="3405"/>
    </row>
    <row r="9" spans="1:30" s="1216" customFormat="1" ht="21.6" thickBot="1">
      <c r="A9" s="2868"/>
      <c r="B9" s="2875" t="s">
        <v>529</v>
      </c>
      <c r="C9" s="2867">
        <f>'数据-取费表'!B2</f>
        <v>43657</v>
      </c>
      <c r="D9" s="520">
        <v>100</v>
      </c>
      <c r="E9" s="521" t="str">
        <f>土地案例!H3</f>
        <v>2019-04-23</v>
      </c>
      <c r="F9" s="522">
        <f>SUMIF(72:72,YEAR(E9)&amp;"-"&amp;INT((MONTH(E9)+2)/3),73:73)</f>
        <v>99</v>
      </c>
      <c r="G9" s="523" t="str">
        <f>土地案例!H16</f>
        <v>2018-01-02</v>
      </c>
      <c r="H9" s="520">
        <f>SUMIF(72:72,YEAR(G9)&amp;"-"&amp;INT((MONTH(G9)+2)/3),73:73)</f>
        <v>94</v>
      </c>
      <c r="I9" s="523" t="str">
        <f>土地案例!H13</f>
        <v>2018-01-12</v>
      </c>
      <c r="J9" s="520">
        <f>SUMIF(72:72,YEAR(I9)&amp;"-"&amp;INT((MONTH(I9)+2)/3),73:73)</f>
        <v>94</v>
      </c>
      <c r="K9" s="524"/>
      <c r="L9" s="2121"/>
      <c r="M9" s="2118"/>
      <c r="N9" s="2118"/>
      <c r="O9" s="2122"/>
      <c r="P9" s="3431" t="s">
        <v>530</v>
      </c>
      <c r="Q9" s="3433"/>
      <c r="R9" s="1555" t="s">
        <v>8</v>
      </c>
      <c r="S9" s="1556">
        <f t="shared" ref="S9:S17" si="0">F9</f>
        <v>99</v>
      </c>
      <c r="T9" s="1555" t="s">
        <v>8</v>
      </c>
      <c r="U9" s="1556">
        <f t="shared" ref="U9:U17" si="1">H9</f>
        <v>94</v>
      </c>
      <c r="V9" s="1555" t="s">
        <v>8</v>
      </c>
      <c r="W9" s="1556">
        <f t="shared" ref="W9:W17" si="2">J9</f>
        <v>94</v>
      </c>
      <c r="X9" s="1557"/>
      <c r="Y9" s="3431" t="s">
        <v>530</v>
      </c>
      <c r="Z9" s="3432"/>
      <c r="AA9" s="1558">
        <f>D9/F9</f>
        <v>1.0101010101010102</v>
      </c>
      <c r="AB9" s="1558">
        <f>D9/H9</f>
        <v>1.0638297872340425</v>
      </c>
      <c r="AC9" s="1558">
        <f>D9/J9</f>
        <v>1.0638297872340425</v>
      </c>
    </row>
    <row r="10" spans="1:30" s="1216" customFormat="1" ht="21.6" thickBot="1">
      <c r="A10" s="2869"/>
      <c r="B10" s="2876" t="s">
        <v>531</v>
      </c>
      <c r="C10" s="856" t="s">
        <v>532</v>
      </c>
      <c r="D10" s="520">
        <v>100</v>
      </c>
      <c r="E10" s="525" t="s">
        <v>3134</v>
      </c>
      <c r="F10" s="522">
        <f>SUMIF(75:75,E10,76:76)-SUMIF(75:75,C10,76:76)+100</f>
        <v>100</v>
      </c>
      <c r="G10" s="525" t="s">
        <v>3134</v>
      </c>
      <c r="H10" s="520">
        <f>SUMIF(75:75,G10,76:76)-SUMIF(75:75,C10,76:76)+100</f>
        <v>100</v>
      </c>
      <c r="I10" s="525" t="s">
        <v>3134</v>
      </c>
      <c r="J10" s="520">
        <f>SUMIF(75:75,I10,76:76)-SUMIF(75:75,C10,76:76)+100</f>
        <v>100</v>
      </c>
      <c r="K10" s="524"/>
      <c r="L10" s="2121"/>
      <c r="M10" s="2118"/>
      <c r="N10" s="2118"/>
      <c r="O10" s="2122"/>
      <c r="P10" s="3431" t="s">
        <v>533</v>
      </c>
      <c r="Q10" s="3432"/>
      <c r="R10" s="1555" t="s">
        <v>8</v>
      </c>
      <c r="S10" s="1556">
        <f t="shared" si="0"/>
        <v>100</v>
      </c>
      <c r="T10" s="1555" t="s">
        <v>8</v>
      </c>
      <c r="U10" s="1556">
        <f t="shared" si="1"/>
        <v>100</v>
      </c>
      <c r="V10" s="1555" t="s">
        <v>8</v>
      </c>
      <c r="W10" s="1556">
        <f t="shared" si="2"/>
        <v>100</v>
      </c>
      <c r="X10" s="1557"/>
      <c r="Y10" s="3431" t="s">
        <v>533</v>
      </c>
      <c r="Z10" s="3432"/>
      <c r="AA10" s="1558">
        <f t="shared" ref="AA10:AA47" si="3">D10/F10</f>
        <v>1</v>
      </c>
      <c r="AB10" s="1558">
        <f t="shared" ref="AB10:AB47" si="4">D10/H10</f>
        <v>1</v>
      </c>
      <c r="AC10" s="1558">
        <f t="shared" ref="AC10:AC47" si="5">D10/J10</f>
        <v>1</v>
      </c>
    </row>
    <row r="11" spans="1:30" s="1216" customFormat="1" ht="21">
      <c r="A11" s="2870"/>
      <c r="B11" s="2877" t="s">
        <v>2755</v>
      </c>
      <c r="C11" s="2864" t="s">
        <v>923</v>
      </c>
      <c r="D11" s="254">
        <v>100</v>
      </c>
      <c r="E11" s="526" t="s">
        <v>3135</v>
      </c>
      <c r="F11" s="254">
        <f>SUMIF(77:77,E11,78:78)-SUMIF(77:77,C11,78:78)+100</f>
        <v>95</v>
      </c>
      <c r="G11" s="526" t="s">
        <v>3135</v>
      </c>
      <c r="H11" s="254">
        <f>SUMIF(77:77,G11,78:78)-SUMIF(77:77,C11,78:78)+100</f>
        <v>95</v>
      </c>
      <c r="I11" s="526" t="s">
        <v>923</v>
      </c>
      <c r="J11" s="254">
        <f>SUMIF(77:77,I11,78:78)-SUMIF(77:77,C11,78:78)+100</f>
        <v>100</v>
      </c>
      <c r="K11" s="524"/>
      <c r="L11" s="2121"/>
      <c r="M11" s="2118"/>
      <c r="N11" s="2118"/>
      <c r="O11" s="2123"/>
      <c r="P11" s="3400" t="s">
        <v>535</v>
      </c>
      <c r="Q11" s="1147" t="str">
        <f t="shared" ref="Q11:Q17" si="6">B11</f>
        <v>用途</v>
      </c>
      <c r="R11" s="1555" t="s">
        <v>8</v>
      </c>
      <c r="S11" s="1556">
        <f t="shared" si="0"/>
        <v>95</v>
      </c>
      <c r="T11" s="1555" t="s">
        <v>8</v>
      </c>
      <c r="U11" s="1556">
        <f t="shared" si="1"/>
        <v>95</v>
      </c>
      <c r="V11" s="1555" t="s">
        <v>8</v>
      </c>
      <c r="W11" s="1556">
        <f t="shared" si="2"/>
        <v>100</v>
      </c>
      <c r="X11" s="1557"/>
      <c r="Y11" s="3346" t="s">
        <v>536</v>
      </c>
      <c r="Z11" s="1146" t="str">
        <f t="shared" ref="Z11:Z17" si="7">Q11</f>
        <v>用途</v>
      </c>
      <c r="AA11" s="1558">
        <f t="shared" si="3"/>
        <v>1.0526315789473684</v>
      </c>
      <c r="AB11" s="1558">
        <f t="shared" si="4"/>
        <v>1.0526315789473684</v>
      </c>
      <c r="AC11" s="1558">
        <f t="shared" si="5"/>
        <v>1</v>
      </c>
    </row>
    <row r="12" spans="1:30" s="1334" customFormat="1" ht="28.8">
      <c r="A12" s="2871"/>
      <c r="B12" s="2876" t="s">
        <v>2756</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00"/>
      <c r="Q12" s="1147" t="str">
        <f t="shared" si="6"/>
        <v>土地使用年限（年）</v>
      </c>
      <c r="R12" s="1555" t="s">
        <v>8</v>
      </c>
      <c r="S12" s="1556">
        <f t="shared" si="0"/>
        <v>100</v>
      </c>
      <c r="T12" s="1555" t="s">
        <v>8</v>
      </c>
      <c r="U12" s="1556">
        <f t="shared" si="1"/>
        <v>100</v>
      </c>
      <c r="V12" s="1555" t="s">
        <v>8</v>
      </c>
      <c r="W12" s="1556">
        <f t="shared" si="2"/>
        <v>100</v>
      </c>
      <c r="X12" s="1557"/>
      <c r="Y12" s="3346"/>
      <c r="Z12" s="1146" t="str">
        <f t="shared" si="7"/>
        <v>土地使用年限（年）</v>
      </c>
      <c r="AA12" s="1558">
        <f t="shared" si="3"/>
        <v>1</v>
      </c>
      <c r="AB12" s="1558">
        <f t="shared" si="4"/>
        <v>1</v>
      </c>
      <c r="AC12" s="1558">
        <f t="shared" si="5"/>
        <v>1</v>
      </c>
    </row>
    <row r="13" spans="1:30" ht="21">
      <c r="A13" s="2872"/>
      <c r="B13" s="2876" t="s">
        <v>2757</v>
      </c>
      <c r="C13" s="534">
        <f>'数据-汇总表'!I6</f>
        <v>4.92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400"/>
      <c r="Q13" s="1147" t="str">
        <f t="shared" si="6"/>
        <v>容积率</v>
      </c>
      <c r="R13" s="1555" t="s">
        <v>8</v>
      </c>
      <c r="S13" s="1556">
        <f t="shared" si="0"/>
        <v>100</v>
      </c>
      <c r="T13" s="1555" t="s">
        <v>8</v>
      </c>
      <c r="U13" s="1556">
        <f t="shared" si="1"/>
        <v>104</v>
      </c>
      <c r="V13" s="1555" t="s">
        <v>8</v>
      </c>
      <c r="W13" s="1556">
        <f t="shared" si="2"/>
        <v>102</v>
      </c>
      <c r="X13" s="1557"/>
      <c r="Y13" s="3346"/>
      <c r="Z13" s="1146" t="str">
        <f t="shared" si="7"/>
        <v>容积率</v>
      </c>
      <c r="AA13" s="1558">
        <f t="shared" si="3"/>
        <v>1</v>
      </c>
      <c r="AB13" s="1558">
        <f t="shared" si="4"/>
        <v>0.96153846153846156</v>
      </c>
      <c r="AC13" s="1558">
        <f t="shared" si="5"/>
        <v>0.98039215686274506</v>
      </c>
    </row>
    <row r="14" spans="1:30" s="1216" customFormat="1" ht="21">
      <c r="A14" s="2869"/>
      <c r="B14" s="2878" t="s">
        <v>2758</v>
      </c>
      <c r="C14" s="2865"/>
      <c r="D14" s="538">
        <v>100</v>
      </c>
      <c r="E14" s="1371"/>
      <c r="F14" s="255">
        <f>SUMIF(84:84,E14,85:85)-SUMIF(84:84,C14,85:85)+100</f>
        <v>100</v>
      </c>
      <c r="G14" s="3190"/>
      <c r="H14" s="255">
        <f>SUMIF(84:84,G14,85:85)-SUMIF(84:84,C14,85:85)+100</f>
        <v>100</v>
      </c>
      <c r="I14" s="3191"/>
      <c r="J14" s="255">
        <f>SUMIF(84:84,I14,85:85)-SUMIF(84:84,C14,85:85)+100</f>
        <v>100</v>
      </c>
      <c r="K14" s="531"/>
      <c r="L14" s="2121"/>
      <c r="M14" s="2118"/>
      <c r="N14" s="2118"/>
      <c r="O14" s="2123"/>
      <c r="P14" s="3400"/>
      <c r="Q14" s="1147" t="str">
        <f t="shared" si="6"/>
        <v>配建</v>
      </c>
      <c r="R14" s="1555" t="s">
        <v>8</v>
      </c>
      <c r="S14" s="1556">
        <f t="shared" si="0"/>
        <v>100</v>
      </c>
      <c r="T14" s="1555" t="s">
        <v>8</v>
      </c>
      <c r="U14" s="1556">
        <f t="shared" si="1"/>
        <v>100</v>
      </c>
      <c r="V14" s="1555" t="s">
        <v>8</v>
      </c>
      <c r="W14" s="1556">
        <f t="shared" si="2"/>
        <v>100</v>
      </c>
      <c r="X14" s="1557"/>
      <c r="Y14" s="3346"/>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D16/F16</f>
        <v>1</v>
      </c>
      <c r="AB16" s="1558">
        <f>D16/H16</f>
        <v>1</v>
      </c>
      <c r="AC16" s="1558">
        <f>D16/J16</f>
        <v>1</v>
      </c>
    </row>
    <row r="17" spans="1:29" ht="96.6">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8"/>
      <c r="M17" s="2118"/>
      <c r="N17" s="2118"/>
      <c r="O17" s="2127"/>
      <c r="P17" s="3434" t="s">
        <v>540</v>
      </c>
      <c r="Q17" s="1559" t="str">
        <f t="shared" si="6"/>
        <v>居住社区成熟度</v>
      </c>
      <c r="R17" s="1560" t="s">
        <v>8</v>
      </c>
      <c r="S17" s="1561">
        <f t="shared" si="0"/>
        <v>100</v>
      </c>
      <c r="T17" s="1560" t="s">
        <v>8</v>
      </c>
      <c r="U17" s="1561">
        <f t="shared" si="1"/>
        <v>98</v>
      </c>
      <c r="V17" s="1560" t="s">
        <v>8</v>
      </c>
      <c r="W17" s="1561">
        <f t="shared" si="2"/>
        <v>100</v>
      </c>
      <c r="X17" s="1554"/>
      <c r="Y17" s="3434" t="s">
        <v>540</v>
      </c>
      <c r="Z17" s="1562" t="str">
        <f t="shared" si="7"/>
        <v>居住社区成熟度</v>
      </c>
      <c r="AA17" s="1563">
        <f t="shared" si="3"/>
        <v>1</v>
      </c>
      <c r="AB17" s="1563">
        <f t="shared" si="4"/>
        <v>1.0204081632653061</v>
      </c>
      <c r="AC17" s="1563">
        <f t="shared" si="5"/>
        <v>1</v>
      </c>
    </row>
    <row r="18" spans="1:29" ht="21">
      <c r="A18" s="532"/>
      <c r="B18" s="553"/>
      <c r="C18" s="554" t="s">
        <v>3139</v>
      </c>
      <c r="D18" s="557"/>
      <c r="E18" s="558" t="s">
        <v>3139</v>
      </c>
      <c r="F18" s="555"/>
      <c r="G18" s="556" t="s">
        <v>3165</v>
      </c>
      <c r="H18" s="559"/>
      <c r="I18" s="558" t="s">
        <v>3139</v>
      </c>
      <c r="J18" s="555"/>
      <c r="K18" s="531"/>
      <c r="L18" s="2128"/>
      <c r="M18" s="2118"/>
      <c r="N18" s="2118"/>
      <c r="O18" s="2127"/>
      <c r="P18" s="3435"/>
      <c r="Q18" s="1559"/>
      <c r="R18" s="1560"/>
      <c r="S18" s="1561"/>
      <c r="T18" s="1560"/>
      <c r="U18" s="1561"/>
      <c r="V18" s="1560"/>
      <c r="W18" s="1561"/>
      <c r="X18" s="1554"/>
      <c r="Y18" s="3435"/>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35"/>
      <c r="Q19" s="1559" t="str">
        <f>B19</f>
        <v>商业繁华度</v>
      </c>
      <c r="R19" s="1560" t="s">
        <v>8</v>
      </c>
      <c r="S19" s="1561">
        <f>F19</f>
        <v>100</v>
      </c>
      <c r="T19" s="1560" t="s">
        <v>8</v>
      </c>
      <c r="U19" s="1561">
        <f>H19</f>
        <v>100</v>
      </c>
      <c r="V19" s="1560" t="s">
        <v>8</v>
      </c>
      <c r="W19" s="1561">
        <f>J19</f>
        <v>100</v>
      </c>
      <c r="X19" s="1554"/>
      <c r="Y19" s="3435"/>
      <c r="Z19" s="1562" t="str">
        <f>Q19</f>
        <v>商业繁华度</v>
      </c>
      <c r="AA19" s="1563">
        <f t="shared" si="3"/>
        <v>1</v>
      </c>
      <c r="AB19" s="1563">
        <f t="shared" si="4"/>
        <v>1</v>
      </c>
      <c r="AC19" s="1563">
        <f t="shared" si="5"/>
        <v>1</v>
      </c>
    </row>
    <row r="20" spans="1:29" ht="21">
      <c r="A20" s="532"/>
      <c r="B20" s="566"/>
      <c r="C20" s="567" t="s">
        <v>3139</v>
      </c>
      <c r="D20" s="563"/>
      <c r="E20" s="569" t="s">
        <v>3139</v>
      </c>
      <c r="F20" s="559"/>
      <c r="G20" s="568" t="s">
        <v>3139</v>
      </c>
      <c r="H20" s="555"/>
      <c r="I20" s="569" t="s">
        <v>3139</v>
      </c>
      <c r="J20" s="555"/>
      <c r="K20" s="531"/>
      <c r="L20" s="2128"/>
      <c r="M20" s="2118"/>
      <c r="N20" s="2118"/>
      <c r="O20" s="2127"/>
      <c r="P20" s="3435"/>
      <c r="Q20" s="1559"/>
      <c r="R20" s="1560"/>
      <c r="S20" s="1561"/>
      <c r="T20" s="1560"/>
      <c r="U20" s="1561"/>
      <c r="V20" s="1560"/>
      <c r="W20" s="1561"/>
      <c r="X20" s="1554"/>
      <c r="Y20" s="3435"/>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5"/>
      <c r="Q21" s="1559" t="str">
        <f>B21</f>
        <v>办公集聚程度</v>
      </c>
      <c r="R21" s="1560" t="s">
        <v>8</v>
      </c>
      <c r="S21" s="1561">
        <f>F21</f>
        <v>100</v>
      </c>
      <c r="T21" s="1560" t="s">
        <v>8</v>
      </c>
      <c r="U21" s="1561">
        <f>H21</f>
        <v>100</v>
      </c>
      <c r="V21" s="1560" t="s">
        <v>8</v>
      </c>
      <c r="W21" s="1561">
        <f>J21</f>
        <v>100</v>
      </c>
      <c r="X21" s="1554"/>
      <c r="Y21" s="3435"/>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435"/>
      <c r="Q22" s="1559"/>
      <c r="R22" s="1560"/>
      <c r="S22" s="1561"/>
      <c r="T22" s="1560"/>
      <c r="U22" s="1561"/>
      <c r="V22" s="1560"/>
      <c r="W22" s="1561"/>
      <c r="X22" s="1554"/>
      <c r="Y22" s="3435"/>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8"/>
      <c r="M23" s="2118"/>
      <c r="N23" s="2118"/>
      <c r="O23" s="2127"/>
      <c r="P23" s="3435"/>
      <c r="Q23" s="1559" t="str">
        <f>B23</f>
        <v>交通便捷度</v>
      </c>
      <c r="R23" s="1560" t="s">
        <v>8</v>
      </c>
      <c r="S23" s="1561">
        <f>F23</f>
        <v>100</v>
      </c>
      <c r="T23" s="1560" t="s">
        <v>8</v>
      </c>
      <c r="U23" s="1561">
        <f>H23</f>
        <v>98</v>
      </c>
      <c r="V23" s="1560" t="s">
        <v>8</v>
      </c>
      <c r="W23" s="1561">
        <f>J23</f>
        <v>100</v>
      </c>
      <c r="X23" s="1554"/>
      <c r="Y23" s="3435"/>
      <c r="Z23" s="1562" t="str">
        <f>Q23</f>
        <v>交通便捷度</v>
      </c>
      <c r="AA23" s="1563">
        <f t="shared" si="3"/>
        <v>1</v>
      </c>
      <c r="AB23" s="1563">
        <f t="shared" si="4"/>
        <v>1.0204081632653061</v>
      </c>
      <c r="AC23" s="1563">
        <f t="shared" si="5"/>
        <v>1</v>
      </c>
    </row>
    <row r="24" spans="1:29" ht="21">
      <c r="A24" s="532"/>
      <c r="B24" s="578"/>
      <c r="C24" s="554" t="s">
        <v>3139</v>
      </c>
      <c r="D24" s="557"/>
      <c r="E24" s="558" t="s">
        <v>3139</v>
      </c>
      <c r="F24" s="555"/>
      <c r="G24" s="556" t="s">
        <v>3165</v>
      </c>
      <c r="H24" s="555"/>
      <c r="I24" s="558" t="s">
        <v>3139</v>
      </c>
      <c r="J24" s="555"/>
      <c r="K24" s="531"/>
      <c r="L24" s="2128"/>
      <c r="M24" s="2118"/>
      <c r="N24" s="2118"/>
      <c r="O24" s="2127"/>
      <c r="P24" s="3435"/>
      <c r="Q24" s="1559"/>
      <c r="R24" s="1560"/>
      <c r="S24" s="1561"/>
      <c r="T24" s="1560"/>
      <c r="U24" s="1561"/>
      <c r="V24" s="1560"/>
      <c r="W24" s="1561"/>
      <c r="X24" s="1554"/>
      <c r="Y24" s="3435"/>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5"/>
      <c r="Q25" s="1559" t="str">
        <f t="shared" ref="Q25:Q39" si="8">B25</f>
        <v>区域土地利用方向</v>
      </c>
      <c r="R25" s="1560" t="s">
        <v>8</v>
      </c>
      <c r="S25" s="1561">
        <f>F25</f>
        <v>100</v>
      </c>
      <c r="T25" s="1560" t="s">
        <v>8</v>
      </c>
      <c r="U25" s="1561">
        <f>H25</f>
        <v>100</v>
      </c>
      <c r="V25" s="1560" t="s">
        <v>8</v>
      </c>
      <c r="W25" s="1561">
        <f>J25</f>
        <v>100</v>
      </c>
      <c r="X25" s="1554"/>
      <c r="Y25" s="3435"/>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8"/>
      <c r="M26" s="2118"/>
      <c r="N26" s="2118"/>
      <c r="O26" s="2127"/>
      <c r="P26" s="3435"/>
      <c r="Q26" s="1559"/>
      <c r="R26" s="1560"/>
      <c r="S26" s="1561"/>
      <c r="T26" s="1560"/>
      <c r="U26" s="1561"/>
      <c r="V26" s="1560"/>
      <c r="W26" s="1561"/>
      <c r="X26" s="1554"/>
      <c r="Y26" s="3435"/>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35"/>
      <c r="Q27" s="1559" t="str">
        <f t="shared" si="8"/>
        <v>自然及人文环境状况</v>
      </c>
      <c r="R27" s="1560" t="s">
        <v>8</v>
      </c>
      <c r="S27" s="1561">
        <f>F27</f>
        <v>100</v>
      </c>
      <c r="T27" s="1560" t="s">
        <v>8</v>
      </c>
      <c r="U27" s="1561">
        <f>H27</f>
        <v>100</v>
      </c>
      <c r="V27" s="1560" t="s">
        <v>8</v>
      </c>
      <c r="W27" s="1561">
        <f>J27</f>
        <v>100</v>
      </c>
      <c r="X27" s="1554"/>
      <c r="Y27" s="3435"/>
      <c r="Z27" s="1562" t="str">
        <f>Q27</f>
        <v>自然及人文环境状况</v>
      </c>
      <c r="AA27" s="1563">
        <f t="shared" si="3"/>
        <v>1</v>
      </c>
      <c r="AB27" s="1563">
        <f t="shared" si="4"/>
        <v>1</v>
      </c>
      <c r="AC27" s="1563">
        <f t="shared" si="5"/>
        <v>1</v>
      </c>
    </row>
    <row r="28" spans="1:29" ht="21">
      <c r="A28" s="515"/>
      <c r="B28" s="566"/>
      <c r="C28" s="554" t="s">
        <v>3139</v>
      </c>
      <c r="D28" s="557"/>
      <c r="E28" s="576" t="s">
        <v>3139</v>
      </c>
      <c r="F28" s="555"/>
      <c r="G28" s="554" t="s">
        <v>3139</v>
      </c>
      <c r="H28" s="555"/>
      <c r="I28" s="576" t="s">
        <v>3139</v>
      </c>
      <c r="J28" s="555"/>
      <c r="K28" s="531"/>
      <c r="L28" s="2128"/>
      <c r="M28" s="2118"/>
      <c r="N28" s="2118"/>
      <c r="O28" s="2127"/>
      <c r="P28" s="3435"/>
      <c r="Q28" s="1559"/>
      <c r="R28" s="1560"/>
      <c r="S28" s="1561"/>
      <c r="T28" s="1560"/>
      <c r="U28" s="1561"/>
      <c r="V28" s="1560"/>
      <c r="W28" s="1561"/>
      <c r="X28" s="1554"/>
      <c r="Y28" s="3435"/>
      <c r="Z28" s="1562"/>
      <c r="AA28" s="1563">
        <v>1</v>
      </c>
      <c r="AB28" s="1563">
        <v>1</v>
      </c>
      <c r="AC28" s="1563">
        <v>1</v>
      </c>
    </row>
    <row r="29" spans="1:29" s="1216" customFormat="1" ht="41.4">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102</v>
      </c>
      <c r="K29" s="535">
        <v>2</v>
      </c>
      <c r="L29" s="2121"/>
      <c r="M29" s="2118"/>
      <c r="N29" s="2118"/>
      <c r="O29" s="2123"/>
      <c r="P29" s="3435"/>
      <c r="Q29" s="1147" t="str">
        <f t="shared" si="8"/>
        <v>公共配套设施</v>
      </c>
      <c r="R29" s="1555" t="s">
        <v>8</v>
      </c>
      <c r="S29" s="1556">
        <f>F29</f>
        <v>100</v>
      </c>
      <c r="T29" s="1555" t="s">
        <v>8</v>
      </c>
      <c r="U29" s="1556">
        <f>H29</f>
        <v>100</v>
      </c>
      <c r="V29" s="1555" t="s">
        <v>8</v>
      </c>
      <c r="W29" s="1556">
        <f>J29</f>
        <v>102</v>
      </c>
      <c r="X29" s="1557"/>
      <c r="Y29" s="3435"/>
      <c r="Z29" s="1146" t="str">
        <f>Q29</f>
        <v>公共配套设施</v>
      </c>
      <c r="AA29" s="1563">
        <f>D29/F29</f>
        <v>1</v>
      </c>
      <c r="AB29" s="1563">
        <f>D29/H29</f>
        <v>1</v>
      </c>
      <c r="AC29" s="1563">
        <f>D29/J29</f>
        <v>0.98039215686274506</v>
      </c>
    </row>
    <row r="30" spans="1:29" s="1216" customFormat="1" ht="21">
      <c r="A30" s="577"/>
      <c r="B30" s="566"/>
      <c r="C30" s="579" t="s">
        <v>3139</v>
      </c>
      <c r="D30" s="557"/>
      <c r="E30" s="576" t="s">
        <v>3139</v>
      </c>
      <c r="F30" s="555"/>
      <c r="G30" s="554" t="s">
        <v>3139</v>
      </c>
      <c r="H30" s="555"/>
      <c r="I30" s="576" t="s">
        <v>3140</v>
      </c>
      <c r="J30" s="555"/>
      <c r="K30" s="531"/>
      <c r="L30" s="2121"/>
      <c r="M30" s="2118"/>
      <c r="N30" s="2118"/>
      <c r="O30" s="2123"/>
      <c r="P30" s="3435"/>
      <c r="Q30" s="1147"/>
      <c r="R30" s="1555"/>
      <c r="S30" s="1556"/>
      <c r="T30" s="1555"/>
      <c r="U30" s="1556"/>
      <c r="V30" s="1555"/>
      <c r="W30" s="1556"/>
      <c r="X30" s="1557"/>
      <c r="Y30" s="3435"/>
      <c r="Z30" s="1146"/>
      <c r="AA30" s="1563">
        <v>1</v>
      </c>
      <c r="AB30" s="1563">
        <v>1</v>
      </c>
      <c r="AC30" s="1563">
        <v>1</v>
      </c>
    </row>
    <row r="31" spans="1:29" s="1216" customFormat="1" ht="27.6">
      <c r="A31" s="577"/>
      <c r="B31" s="255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5"/>
      <c r="Q31" s="2543" t="str">
        <f t="shared" ref="Q31" si="9">B31</f>
        <v>基础设施水平</v>
      </c>
      <c r="R31" s="1555" t="s">
        <v>8</v>
      </c>
      <c r="S31" s="1556">
        <f>F31</f>
        <v>100</v>
      </c>
      <c r="T31" s="1555" t="s">
        <v>8</v>
      </c>
      <c r="U31" s="1556">
        <f>H31</f>
        <v>100</v>
      </c>
      <c r="V31" s="1555" t="s">
        <v>8</v>
      </c>
      <c r="W31" s="1556">
        <f>J31</f>
        <v>100</v>
      </c>
      <c r="X31" s="1557"/>
      <c r="Y31" s="3435"/>
      <c r="Z31" s="2540" t="str">
        <f>Q31</f>
        <v>基础设施水平</v>
      </c>
      <c r="AA31" s="1563">
        <f>D31/F31</f>
        <v>1</v>
      </c>
      <c r="AB31" s="1563">
        <f>D31/H31</f>
        <v>1</v>
      </c>
      <c r="AC31" s="1563">
        <f>D31/J31</f>
        <v>1</v>
      </c>
    </row>
    <row r="32" spans="1:29" s="1216" customFormat="1" ht="21">
      <c r="A32" s="577"/>
      <c r="B32" s="566"/>
      <c r="C32" s="579" t="s">
        <v>3141</v>
      </c>
      <c r="D32" s="557"/>
      <c r="E32" s="2557" t="s">
        <v>3141</v>
      </c>
      <c r="F32" s="555"/>
      <c r="G32" s="579" t="s">
        <v>3141</v>
      </c>
      <c r="H32" s="555"/>
      <c r="I32" s="579" t="s">
        <v>3141</v>
      </c>
      <c r="J32" s="555"/>
      <c r="K32" s="531"/>
      <c r="L32" s="2121"/>
      <c r="M32" s="2118"/>
      <c r="N32" s="2118"/>
      <c r="O32" s="2123"/>
      <c r="P32" s="3435"/>
      <c r="Q32" s="2543"/>
      <c r="R32" s="1555"/>
      <c r="S32" s="1556"/>
      <c r="T32" s="1555"/>
      <c r="U32" s="1556"/>
      <c r="V32" s="1555"/>
      <c r="W32" s="1556"/>
      <c r="X32" s="1557"/>
      <c r="Y32" s="3435"/>
      <c r="Z32" s="2540"/>
      <c r="AA32" s="1563">
        <v>1</v>
      </c>
      <c r="AB32" s="1563">
        <v>1</v>
      </c>
      <c r="AC32" s="1563">
        <v>1</v>
      </c>
    </row>
    <row r="33" spans="1:29" ht="21">
      <c r="A33" s="532"/>
      <c r="B33" s="566" t="s">
        <v>547</v>
      </c>
      <c r="C33" s="580" t="s">
        <v>3204</v>
      </c>
      <c r="D33" s="575">
        <v>100</v>
      </c>
      <c r="E33" s="583" t="s">
        <v>3204</v>
      </c>
      <c r="F33" s="540">
        <f>SUMIF(106:106,E33,107:107)-SUMIF(106:106,C33,107:107)+100</f>
        <v>100</v>
      </c>
      <c r="G33" s="580" t="s">
        <v>3204</v>
      </c>
      <c r="H33" s="540">
        <f>SUMIF(106:106,G33,107:107)-SUMIF(106:106,C33,107:107)+100</f>
        <v>100</v>
      </c>
      <c r="I33" s="580" t="s">
        <v>3204</v>
      </c>
      <c r="J33" s="540">
        <f>SUMIF(106:106,I33,107:107)-SUMIF(106:106,C33,107:107)+100</f>
        <v>100</v>
      </c>
      <c r="K33" s="535"/>
      <c r="L33" s="2128"/>
      <c r="M33" s="2118"/>
      <c r="N33" s="2118"/>
      <c r="O33" s="2127"/>
      <c r="P33" s="343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5"/>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5"/>
      <c r="Q34" s="1559" t="str">
        <f t="shared" si="8"/>
        <v>毗邻道路的类型与等级</v>
      </c>
      <c r="R34" s="1560" t="s">
        <v>8</v>
      </c>
      <c r="S34" s="1561">
        <f t="shared" si="10"/>
        <v>100</v>
      </c>
      <c r="T34" s="1560" t="s">
        <v>8</v>
      </c>
      <c r="U34" s="1561">
        <f t="shared" si="11"/>
        <v>100</v>
      </c>
      <c r="V34" s="1560" t="s">
        <v>8</v>
      </c>
      <c r="W34" s="1561">
        <f t="shared" si="12"/>
        <v>100</v>
      </c>
      <c r="X34" s="1554"/>
      <c r="Y34" s="3435"/>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435"/>
      <c r="Q35" s="1559"/>
      <c r="R35" s="1560"/>
      <c r="S35" s="1561"/>
      <c r="T35" s="1560"/>
      <c r="U35" s="1561"/>
      <c r="V35" s="1560"/>
      <c r="W35" s="1561"/>
      <c r="X35" s="1554"/>
      <c r="Y35" s="3435"/>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5"/>
      <c r="Q36" s="1559" t="str">
        <f t="shared" si="8"/>
        <v>土地级别</v>
      </c>
      <c r="R36" s="1560" t="s">
        <v>8</v>
      </c>
      <c r="S36" s="1561">
        <f t="shared" si="10"/>
        <v>100</v>
      </c>
      <c r="T36" s="1560" t="s">
        <v>8</v>
      </c>
      <c r="U36" s="1561">
        <f t="shared" si="11"/>
        <v>100</v>
      </c>
      <c r="V36" s="1560" t="s">
        <v>8</v>
      </c>
      <c r="W36" s="1561">
        <f t="shared" si="12"/>
        <v>100</v>
      </c>
      <c r="X36" s="1554"/>
      <c r="Y36" s="3435"/>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5"/>
      <c r="Q37" s="1559">
        <f t="shared" si="8"/>
        <v>111</v>
      </c>
      <c r="R37" s="1560" t="s">
        <v>8</v>
      </c>
      <c r="S37" s="1561">
        <f t="shared" si="10"/>
        <v>100</v>
      </c>
      <c r="T37" s="1560" t="s">
        <v>8</v>
      </c>
      <c r="U37" s="1561">
        <f t="shared" si="11"/>
        <v>100</v>
      </c>
      <c r="V37" s="1560" t="s">
        <v>8</v>
      </c>
      <c r="W37" s="1561">
        <f t="shared" si="12"/>
        <v>100</v>
      </c>
      <c r="X37" s="1554"/>
      <c r="Y37" s="3435"/>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1">
      <c r="A40" s="2863" t="s">
        <v>2754</v>
      </c>
      <c r="B40" s="595" t="s">
        <v>552</v>
      </c>
      <c r="C40" s="596">
        <f>'数据-基础表'!A3</f>
        <v>38151.279999999999</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37"/>
      <c r="Q40" s="1559" t="str">
        <f>B40</f>
        <v>宗地面积</v>
      </c>
      <c r="R40" s="1560" t="s">
        <v>8</v>
      </c>
      <c r="S40" s="1561">
        <f t="shared" si="10"/>
        <v>101</v>
      </c>
      <c r="T40" s="1560" t="s">
        <v>8</v>
      </c>
      <c r="U40" s="1561">
        <f t="shared" si="11"/>
        <v>101</v>
      </c>
      <c r="V40" s="1560" t="s">
        <v>8</v>
      </c>
      <c r="W40" s="1561">
        <f t="shared" si="12"/>
        <v>104</v>
      </c>
      <c r="X40" s="1554"/>
      <c r="Y40" s="3437"/>
      <c r="Z40" s="1562" t="str">
        <f t="shared" si="13"/>
        <v>宗地面积</v>
      </c>
      <c r="AA40" s="1563">
        <f t="shared" si="3"/>
        <v>0.99009900990099009</v>
      </c>
      <c r="AB40" s="1563">
        <f t="shared" si="4"/>
        <v>0.99009900990099009</v>
      </c>
      <c r="AC40" s="1563">
        <f t="shared" si="5"/>
        <v>0.96153846153846156</v>
      </c>
    </row>
    <row r="41" spans="1:29" ht="21">
      <c r="A41" s="594"/>
      <c r="B41" s="527" t="s">
        <v>553</v>
      </c>
      <c r="C41" s="599" t="s">
        <v>3156</v>
      </c>
      <c r="D41" s="540">
        <v>100</v>
      </c>
      <c r="E41" s="599" t="s">
        <v>3156</v>
      </c>
      <c r="F41" s="540">
        <f>SUMIF(121:121,E41,122:122)-SUMIF(121:121,C41,122:122)+100</f>
        <v>100</v>
      </c>
      <c r="G41" s="599" t="s">
        <v>3156</v>
      </c>
      <c r="H41" s="540">
        <f>SUMIF(121:121,G41,122:122)-SUMIF(121:121,C41,122:122)+100</f>
        <v>100</v>
      </c>
      <c r="I41" s="599" t="s">
        <v>3156</v>
      </c>
      <c r="J41" s="540">
        <f>SUMIF(121:121,I41,122:122)-SUMIF(121:121,C41,122:122)+100</f>
        <v>100</v>
      </c>
      <c r="K41" s="584"/>
      <c r="L41" s="2128"/>
      <c r="M41" s="2118"/>
      <c r="N41" s="2118"/>
      <c r="O41" s="2127"/>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1">
      <c r="A43" s="600"/>
      <c r="B43" s="1881" t="s">
        <v>2424</v>
      </c>
      <c r="C43" s="601" t="s">
        <v>3141</v>
      </c>
      <c r="D43" s="255">
        <v>100</v>
      </c>
      <c r="E43" s="601" t="s">
        <v>3141</v>
      </c>
      <c r="F43" s="540">
        <f>SUMIF(125:125,E43,126:126)-SUMIF(125:125,C43,126:126)+100</f>
        <v>100</v>
      </c>
      <c r="G43" s="601" t="s">
        <v>3141</v>
      </c>
      <c r="H43" s="540">
        <f>SUMIF(125:125,G43,126:126)-SUMIF(125:125,C43,126:126)+100</f>
        <v>100</v>
      </c>
      <c r="I43" s="601" t="s">
        <v>3141</v>
      </c>
      <c r="J43" s="540">
        <f>SUMIF(125:125,I43,126:126)-SUMIF(125:125,C43,126:126)+100</f>
        <v>100</v>
      </c>
      <c r="K43" s="584"/>
      <c r="L43" s="2121"/>
      <c r="M43" s="2118"/>
      <c r="N43" s="2118"/>
      <c r="O43" s="2123"/>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1">
      <c r="A44" s="594"/>
      <c r="B44" s="527" t="s">
        <v>555</v>
      </c>
      <c r="C44" s="599" t="s">
        <v>3140</v>
      </c>
      <c r="D44" s="540">
        <v>100</v>
      </c>
      <c r="E44" s="599" t="s">
        <v>3140</v>
      </c>
      <c r="F44" s="540">
        <f>SUMIF(127:127,E44,128:128)-SUMIF(127:127,C44,128:128)+100</f>
        <v>100</v>
      </c>
      <c r="G44" s="599" t="s">
        <v>3140</v>
      </c>
      <c r="H44" s="540">
        <f>SUMIF(127:127,G44,128:128)-SUMIF(127:127,C44,128:128)+100</f>
        <v>100</v>
      </c>
      <c r="I44" s="599" t="s">
        <v>3140</v>
      </c>
      <c r="J44" s="540">
        <f>SUMIF(127:127,I44,128:128)-SUMIF(127:127,C44,128:128)+100</f>
        <v>100</v>
      </c>
      <c r="K44" s="584"/>
      <c r="L44" s="2128"/>
      <c r="M44" s="2118"/>
      <c r="N44" s="2118"/>
      <c r="O44" s="2127"/>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1">
      <c r="A45" s="594"/>
      <c r="B45" s="3192" t="s">
        <v>3147</v>
      </c>
      <c r="C45" s="3195" t="s">
        <v>3145</v>
      </c>
      <c r="D45" s="540">
        <v>100</v>
      </c>
      <c r="E45" s="3195" t="s">
        <v>3160</v>
      </c>
      <c r="F45" s="540">
        <f>SUMIF(129:129,E45,130:130)-SUMIF(129:129,C45,130:130)+100</f>
        <v>90</v>
      </c>
      <c r="G45" s="3195" t="s">
        <v>3206</v>
      </c>
      <c r="H45" s="540">
        <f>SUMIF(129:129,G45,130:130)-SUMIF(129:129,C45,130:130)+100</f>
        <v>100</v>
      </c>
      <c r="I45" s="3196" t="s">
        <v>3145</v>
      </c>
      <c r="J45" s="540">
        <f>SUMIF(129:129,I45,130:130)-SUMIF(129:129,C45,130:130)+100</f>
        <v>100</v>
      </c>
      <c r="K45" s="581"/>
      <c r="L45" s="2128"/>
      <c r="M45" s="2118"/>
      <c r="N45" s="2118"/>
      <c r="O45" s="2127"/>
      <c r="P45" s="3437"/>
      <c r="Q45" s="1559" t="str">
        <f t="shared" si="14"/>
        <v>限地价</v>
      </c>
      <c r="R45" s="1560" t="s">
        <v>8</v>
      </c>
      <c r="S45" s="1561">
        <f t="shared" si="10"/>
        <v>90</v>
      </c>
      <c r="T45" s="1560" t="s">
        <v>8</v>
      </c>
      <c r="U45" s="1561">
        <f t="shared" si="11"/>
        <v>100</v>
      </c>
      <c r="V45" s="1560" t="s">
        <v>8</v>
      </c>
      <c r="W45" s="1561">
        <f t="shared" si="12"/>
        <v>100</v>
      </c>
      <c r="X45" s="1554"/>
      <c r="Y45" s="3437"/>
      <c r="Z45" s="1562" t="str">
        <f t="shared" si="13"/>
        <v>限地价</v>
      </c>
      <c r="AA45" s="1563">
        <f t="shared" si="3"/>
        <v>1.1111111111111112</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1">
      <c r="A48" s="607" t="s">
        <v>556</v>
      </c>
      <c r="B48" s="608" t="s">
        <v>3144</v>
      </c>
      <c r="C48" s="609" t="s">
        <v>1</v>
      </c>
      <c r="D48" s="610"/>
      <c r="E48" s="611">
        <f>土地案例!K3</f>
        <v>7812.39</v>
      </c>
      <c r="F48" s="612"/>
      <c r="G48" s="613">
        <f>土地案例!K16</f>
        <v>8389.84</v>
      </c>
      <c r="H48" s="614"/>
      <c r="I48" s="611">
        <f>土地案例!K13</f>
        <v>7747</v>
      </c>
      <c r="J48" s="614"/>
      <c r="K48" s="1336"/>
      <c r="L48" s="2130"/>
      <c r="M48" s="2118"/>
      <c r="N48" s="2118"/>
      <c r="O48" s="2131"/>
      <c r="P48" s="3400" t="str">
        <f>A48</f>
        <v>成交单价</v>
      </c>
      <c r="Q48" s="3400"/>
      <c r="R48" s="3401">
        <f>E48</f>
        <v>7812.39</v>
      </c>
      <c r="S48" s="3401"/>
      <c r="T48" s="3401">
        <f>G48</f>
        <v>8389.84</v>
      </c>
      <c r="U48" s="3401"/>
      <c r="V48" s="3401">
        <f>I48</f>
        <v>7747</v>
      </c>
      <c r="W48" s="3401"/>
      <c r="X48" s="1546"/>
      <c r="Y48" s="1568"/>
      <c r="Z48" s="1546"/>
      <c r="AA48" s="1546"/>
      <c r="AB48" s="1546"/>
      <c r="AC48" s="1546"/>
    </row>
    <row r="49" spans="1:29" ht="21.6" thickBot="1">
      <c r="A49" s="615" t="s">
        <v>2692</v>
      </c>
      <c r="B49" s="616"/>
      <c r="C49" s="617">
        <f>R50</f>
        <v>8689</v>
      </c>
      <c r="D49" s="618"/>
      <c r="E49" s="617">
        <f>R49</f>
        <v>9138</v>
      </c>
      <c r="F49" s="619"/>
      <c r="G49" s="620">
        <f>T49</f>
        <v>9313</v>
      </c>
      <c r="H49" s="618"/>
      <c r="I49" s="617">
        <f>V49</f>
        <v>7617</v>
      </c>
      <c r="J49" s="618"/>
      <c r="K49" s="1337"/>
      <c r="L49" s="2130"/>
      <c r="M49" s="2118"/>
      <c r="N49" s="2118"/>
      <c r="O49" s="2131"/>
      <c r="P49" s="3400" t="str">
        <f>A49</f>
        <v>比较价格（元/平方米）</v>
      </c>
      <c r="Q49" s="3400"/>
      <c r="R49" s="3402">
        <f>ROUND(PRODUCT(R48,AA9:AA47),0)</f>
        <v>9138</v>
      </c>
      <c r="S49" s="3402"/>
      <c r="T49" s="3402">
        <f>ROUND(PRODUCT(T48,AB9:AB47),0)</f>
        <v>9313</v>
      </c>
      <c r="U49" s="3402"/>
      <c r="V49" s="3402">
        <f>ROUND(PRODUCT(V48,AC9:AC47),0)</f>
        <v>7617</v>
      </c>
      <c r="W49" s="3402"/>
      <c r="X49" s="1546"/>
      <c r="Y49" s="1546"/>
      <c r="Z49" s="1546"/>
      <c r="AA49" s="1546"/>
      <c r="AB49" s="1546"/>
      <c r="AC49" s="1546"/>
    </row>
    <row r="50" spans="1:29" ht="21.6" thickBot="1">
      <c r="A50" s="621" t="s">
        <v>2935</v>
      </c>
      <c r="B50" s="622"/>
      <c r="C50" s="623">
        <f>R50</f>
        <v>8689</v>
      </c>
      <c r="D50" s="623"/>
      <c r="E50" s="623"/>
      <c r="F50" s="623"/>
      <c r="G50" s="623"/>
      <c r="H50" s="623"/>
      <c r="I50" s="623"/>
      <c r="J50" s="623"/>
      <c r="K50" s="1338"/>
      <c r="L50" s="2130"/>
      <c r="M50" s="2118"/>
      <c r="N50" s="2118"/>
      <c r="O50" s="2131"/>
      <c r="P50" s="3397" t="str">
        <f>A50</f>
        <v>估价对象XX用房的比较价格（楼面单价，元/平方米）</v>
      </c>
      <c r="Q50" s="3398"/>
      <c r="R50" s="3399">
        <f>ROUND(AVERAGE(R49:V49),0)</f>
        <v>8689</v>
      </c>
      <c r="S50" s="3399"/>
      <c r="T50" s="3399"/>
      <c r="U50" s="3399"/>
      <c r="V50" s="3399"/>
      <c r="W50" s="3399"/>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0.16968046910100498</v>
      </c>
      <c r="F53" s="627" t="str">
        <f>IF(OR(E53&gt;=0.3,E53&lt;=-0.3),"超过30%","")</f>
        <v/>
      </c>
      <c r="G53" s="626">
        <f>IF(G48&lt;G49,G49/G48-1,G48/G49-1)</f>
        <v>0.11003308763933517</v>
      </c>
      <c r="H53" s="627" t="str">
        <f>IF(OR(G53&gt;=0.3,G53&lt;=-0.3),"超过30%","")</f>
        <v/>
      </c>
      <c r="I53" s="626">
        <f>IF(I48&lt;I49,I49/I48-1,I48/I49-1)</f>
        <v>1.7067086779571916E-2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1.9150798861895302E-2</v>
      </c>
      <c r="F54" s="627" t="str">
        <f>IF(OR(E54&gt;=0.2,E54&lt;=-0.2),"超过20%","")</f>
        <v/>
      </c>
      <c r="G54" s="626">
        <f>IF(G49&lt;I49,I49/G49-1,G49/I49-1)</f>
        <v>0.22265983983195481</v>
      </c>
      <c r="H54" s="627" t="str">
        <f>IF(OR(G54&gt;=0.2,G54&lt;=-0.2),"超过20%","")</f>
        <v>超过20%</v>
      </c>
      <c r="I54" s="626">
        <f>IF(I49&lt;E49,E49/I49-1,I49/E49-1)</f>
        <v>0.19968491532099253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6" t="s">
        <v>2281</v>
      </c>
      <c r="H57" s="342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8689</v>
      </c>
      <c r="C58" s="635">
        <v>1</v>
      </c>
      <c r="D58" s="2214">
        <v>1</v>
      </c>
      <c r="E58" s="635">
        <f>'数据-汇总表'!E8+'数据-汇总表'!E9</f>
        <v>185881.35</v>
      </c>
      <c r="F58" s="636">
        <f t="shared" ref="F58:F67" si="15">ROUND(B58*E58/10000,0)</f>
        <v>161512</v>
      </c>
      <c r="G58" s="3428"/>
      <c r="H58" s="342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43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43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43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43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51281.989903754205</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237163.33990375421</v>
      </c>
      <c r="F68" s="644">
        <f>IF(B48="楼面地价",SUM(F58:F67),ROUND(C50*E68/10000,0))</f>
        <v>161512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2531</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北京市平均增长率0.00%</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87" t="s">
        <v>3137</v>
      </c>
      <c r="D77" s="3187" t="s">
        <v>3138</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3189" t="s">
        <v>3145</v>
      </c>
      <c r="D84" s="1372" t="s">
        <v>3146</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3155</v>
      </c>
      <c r="D121" s="3193" t="s">
        <v>3157</v>
      </c>
      <c r="E121" s="3193" t="s">
        <v>3158</v>
      </c>
      <c r="F121" s="3193" t="s">
        <v>3159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3200</v>
      </c>
      <c r="D123" s="3189" t="s">
        <v>3201</v>
      </c>
      <c r="E123" s="3189" t="s">
        <v>3202</v>
      </c>
      <c r="F123" s="3193" t="s">
        <v>3203</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3148</v>
      </c>
      <c r="D125" s="1372" t="s">
        <v>3149</v>
      </c>
      <c r="E125" s="1372" t="s">
        <v>3150</v>
      </c>
      <c r="F125" s="1372" t="s">
        <v>3151</v>
      </c>
      <c r="G125" s="1372" t="s">
        <v>3152</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3153</v>
      </c>
      <c r="D127" s="3189" t="s">
        <v>3154</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3145</v>
      </c>
      <c r="D129" s="3189" t="s">
        <v>3146</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406" t="s">
        <v>522</v>
      </c>
      <c r="D6" s="3407"/>
      <c r="E6" s="3440" t="s">
        <v>523</v>
      </c>
      <c r="F6" s="3441"/>
      <c r="G6" s="3406" t="s">
        <v>524</v>
      </c>
      <c r="H6" s="3407"/>
      <c r="I6" s="3406" t="s">
        <v>525</v>
      </c>
      <c r="J6" s="3407"/>
      <c r="K6" s="514" t="s">
        <v>526</v>
      </c>
      <c r="L6" s="2119"/>
      <c r="M6" s="2120"/>
      <c r="N6" s="2120"/>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29">
      <c r="A7" s="515"/>
      <c r="B7" s="516"/>
      <c r="C7" s="3422" t="s">
        <v>2929</v>
      </c>
      <c r="D7" s="3423"/>
      <c r="E7" s="3442" t="s">
        <v>2930</v>
      </c>
      <c r="F7" s="3443"/>
      <c r="G7" s="3422" t="s">
        <v>2931</v>
      </c>
      <c r="H7" s="3423"/>
      <c r="I7" s="3422" t="s">
        <v>2932</v>
      </c>
      <c r="J7" s="3423"/>
      <c r="K7" s="514"/>
      <c r="L7" s="2119"/>
      <c r="M7" s="2120"/>
      <c r="N7" s="2120"/>
      <c r="O7" s="2120"/>
      <c r="P7" s="3410"/>
      <c r="Q7" s="3411"/>
      <c r="R7" s="3416"/>
      <c r="S7" s="3417"/>
      <c r="T7" s="3416"/>
      <c r="U7" s="3417"/>
      <c r="V7" s="3401"/>
      <c r="W7" s="3401"/>
      <c r="X7" s="1554"/>
      <c r="Y7" s="3416"/>
      <c r="Z7" s="3417"/>
      <c r="AA7" s="3404"/>
      <c r="AB7" s="3404"/>
      <c r="AC7" s="3404"/>
    </row>
    <row r="8" spans="1:29" ht="15" thickBot="1">
      <c r="A8" s="517"/>
      <c r="B8" s="518"/>
      <c r="C8" s="3420" t="s">
        <v>2933</v>
      </c>
      <c r="D8" s="3421"/>
      <c r="E8" s="3438" t="s">
        <v>2933</v>
      </c>
      <c r="F8" s="3439"/>
      <c r="G8" s="3420" t="s">
        <v>2933</v>
      </c>
      <c r="H8" s="3421"/>
      <c r="I8" s="3420" t="s">
        <v>2933</v>
      </c>
      <c r="J8" s="3421"/>
      <c r="K8" s="514" t="s">
        <v>528</v>
      </c>
      <c r="L8" s="2119"/>
      <c r="M8" s="2120"/>
      <c r="N8" s="2120"/>
      <c r="O8" s="2120"/>
      <c r="P8" s="3412"/>
      <c r="Q8" s="3413"/>
      <c r="R8" s="3416"/>
      <c r="S8" s="3417"/>
      <c r="T8" s="3418"/>
      <c r="U8" s="3419"/>
      <c r="V8" s="3401"/>
      <c r="W8" s="3401"/>
      <c r="X8" s="1554"/>
      <c r="Y8" s="3418"/>
      <c r="Z8" s="3419"/>
      <c r="AA8" s="3405"/>
      <c r="AB8" s="3405"/>
      <c r="AC8" s="3405"/>
    </row>
    <row r="9" spans="1:29" s="1216" customFormat="1" ht="15" thickBot="1">
      <c r="A9" s="2868"/>
      <c r="B9" s="2875" t="s">
        <v>529</v>
      </c>
      <c r="C9" s="519">
        <f>'数据-取费表'!B2</f>
        <v>43657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2" si="3">D10/F10</f>
        <v>#DIV/0!</v>
      </c>
      <c r="AB10" s="1558" t="e">
        <f t="shared" ref="AB10:AB42" si="4">D10/H10</f>
        <v>#DIV/0!</v>
      </c>
      <c r="AC10" s="1558" t="e">
        <f t="shared" ref="AC10:AC42" si="5">D10/J10</f>
        <v>#DIV/0!</v>
      </c>
    </row>
    <row r="11" spans="1:29" s="1216" customFormat="1" ht="14.4">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29" s="1334" customFormat="1" ht="28.8">
      <c r="A12" s="2871"/>
      <c r="B12" s="2876" t="s">
        <v>2756</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00"/>
      <c r="Q12" s="1147" t="str">
        <f t="shared" si="6"/>
        <v>土地使用年限（年）</v>
      </c>
      <c r="R12" s="1555" t="s">
        <v>8</v>
      </c>
      <c r="S12" s="1556">
        <f t="shared" si="0"/>
        <v>100</v>
      </c>
      <c r="T12" s="1555" t="s">
        <v>8</v>
      </c>
      <c r="U12" s="1556">
        <f t="shared" si="1"/>
        <v>100</v>
      </c>
      <c r="V12" s="1555" t="s">
        <v>8</v>
      </c>
      <c r="W12" s="1556">
        <f t="shared" si="2"/>
        <v>100</v>
      </c>
      <c r="X12" s="1557"/>
      <c r="Y12" s="3346"/>
      <c r="Z12" s="1146" t="str">
        <f t="shared" si="7"/>
        <v>土地使用年限（年）</v>
      </c>
      <c r="AA12" s="1558">
        <f t="shared" si="3"/>
        <v>1</v>
      </c>
      <c r="AB12" s="1558">
        <f t="shared" si="4"/>
        <v>1</v>
      </c>
      <c r="AC12" s="1558">
        <f t="shared" si="5"/>
        <v>1</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 t="shared" si="3"/>
        <v>1</v>
      </c>
      <c r="AB16" s="1558">
        <f t="shared" si="4"/>
        <v>1</v>
      </c>
      <c r="AC16" s="1558">
        <f t="shared" si="5"/>
        <v>1</v>
      </c>
    </row>
    <row r="17" spans="1:29" ht="69">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4" t="s">
        <v>540</v>
      </c>
      <c r="Q17" s="1559" t="str">
        <f t="shared" si="6"/>
        <v>产业集聚程度</v>
      </c>
      <c r="R17" s="1560" t="s">
        <v>8</v>
      </c>
      <c r="S17" s="1561">
        <f t="shared" si="0"/>
        <v>100</v>
      </c>
      <c r="T17" s="1560" t="s">
        <v>8</v>
      </c>
      <c r="U17" s="1561">
        <f t="shared" si="1"/>
        <v>100</v>
      </c>
      <c r="V17" s="1560" t="s">
        <v>8</v>
      </c>
      <c r="W17" s="1561">
        <f t="shared" si="2"/>
        <v>100</v>
      </c>
      <c r="X17" s="1554"/>
      <c r="Y17" s="343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5"/>
      <c r="Q18" s="1559"/>
      <c r="R18" s="1560"/>
      <c r="S18" s="1561"/>
      <c r="T18" s="1560"/>
      <c r="U18" s="1561"/>
      <c r="V18" s="1560"/>
      <c r="W18" s="1561"/>
      <c r="X18" s="1554"/>
      <c r="Y18" s="3435"/>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5"/>
      <c r="Q19" s="1559" t="str">
        <f>B19</f>
        <v>交通便捷度</v>
      </c>
      <c r="R19" s="1560" t="s">
        <v>8</v>
      </c>
      <c r="S19" s="1561">
        <f>F19</f>
        <v>100</v>
      </c>
      <c r="T19" s="1560" t="s">
        <v>8</v>
      </c>
      <c r="U19" s="1561">
        <f>H19</f>
        <v>100</v>
      </c>
      <c r="V19" s="1560" t="s">
        <v>8</v>
      </c>
      <c r="W19" s="1561">
        <f>J19</f>
        <v>100</v>
      </c>
      <c r="X19" s="1554"/>
      <c r="Y19" s="343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5"/>
      <c r="Q21" s="1559" t="str">
        <f t="shared" ref="Q21:Q35" si="8">B21</f>
        <v>区域土地利用方向</v>
      </c>
      <c r="R21" s="1560" t="s">
        <v>8</v>
      </c>
      <c r="S21" s="1561">
        <f>F21</f>
        <v>100</v>
      </c>
      <c r="T21" s="1560" t="s">
        <v>8</v>
      </c>
      <c r="U21" s="1561">
        <f>H21</f>
        <v>100</v>
      </c>
      <c r="V21" s="1560" t="s">
        <v>8</v>
      </c>
      <c r="W21" s="1561">
        <f>J21</f>
        <v>100</v>
      </c>
      <c r="X21" s="1554"/>
      <c r="Y21" s="343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5"/>
      <c r="Q22" s="1559"/>
      <c r="R22" s="1560"/>
      <c r="S22" s="1561"/>
      <c r="T22" s="1560"/>
      <c r="U22" s="1561"/>
      <c r="V22" s="1560"/>
      <c r="W22" s="1561"/>
      <c r="X22" s="1554"/>
      <c r="Y22" s="3435"/>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5"/>
      <c r="Q23" s="1559" t="str">
        <f t="shared" si="8"/>
        <v>环境状况</v>
      </c>
      <c r="R23" s="1560" t="s">
        <v>8</v>
      </c>
      <c r="S23" s="1561">
        <f>F23</f>
        <v>100</v>
      </c>
      <c r="T23" s="1560" t="s">
        <v>8</v>
      </c>
      <c r="U23" s="1561">
        <f>H23</f>
        <v>100</v>
      </c>
      <c r="V23" s="1560" t="s">
        <v>8</v>
      </c>
      <c r="W23" s="1561">
        <f>J23</f>
        <v>100</v>
      </c>
      <c r="X23" s="1554"/>
      <c r="Y23" s="343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5"/>
      <c r="Q24" s="1559"/>
      <c r="R24" s="1560"/>
      <c r="S24" s="1561"/>
      <c r="T24" s="1560"/>
      <c r="U24" s="1561"/>
      <c r="V24" s="1560"/>
      <c r="W24" s="1561"/>
      <c r="X24" s="1554"/>
      <c r="Y24" s="3435"/>
      <c r="Z24" s="1562"/>
      <c r="AA24" s="1563">
        <v>1</v>
      </c>
      <c r="AB24" s="1563">
        <v>1</v>
      </c>
      <c r="AC24" s="1563">
        <v>1</v>
      </c>
    </row>
    <row r="25" spans="1:29" s="1216" customFormat="1" ht="41.4">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5"/>
      <c r="Q25" s="1147" t="str">
        <f t="shared" si="8"/>
        <v>公共配套设施</v>
      </c>
      <c r="R25" s="1555" t="s">
        <v>8</v>
      </c>
      <c r="S25" s="1556">
        <f>F25</f>
        <v>100</v>
      </c>
      <c r="T25" s="1555" t="s">
        <v>8</v>
      </c>
      <c r="U25" s="1556">
        <f>H25</f>
        <v>100</v>
      </c>
      <c r="V25" s="1555" t="s">
        <v>8</v>
      </c>
      <c r="W25" s="1556">
        <f>J25</f>
        <v>100</v>
      </c>
      <c r="X25" s="1557"/>
      <c r="Y25" s="343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5"/>
      <c r="Q26" s="1147"/>
      <c r="R26" s="1555"/>
      <c r="S26" s="1556"/>
      <c r="T26" s="1555"/>
      <c r="U26" s="1556"/>
      <c r="V26" s="1555"/>
      <c r="W26" s="1556"/>
      <c r="X26" s="1557"/>
      <c r="Y26" s="3435"/>
      <c r="Z26" s="1146"/>
      <c r="AA26" s="1558">
        <v>1</v>
      </c>
      <c r="AB26" s="1558">
        <v>1</v>
      </c>
      <c r="AC26" s="1558">
        <v>1</v>
      </c>
    </row>
    <row r="27" spans="1:29" s="1216" customFormat="1" ht="41.4">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5"/>
      <c r="Q27" s="2543" t="str">
        <f t="shared" ref="Q27" si="9">B27</f>
        <v>基础设施水平</v>
      </c>
      <c r="R27" s="1555" t="s">
        <v>8</v>
      </c>
      <c r="S27" s="1556">
        <f>F27</f>
        <v>100</v>
      </c>
      <c r="T27" s="1555" t="s">
        <v>8</v>
      </c>
      <c r="U27" s="1556">
        <f>H27</f>
        <v>100</v>
      </c>
      <c r="V27" s="1555" t="s">
        <v>8</v>
      </c>
      <c r="W27" s="1556">
        <f>J27</f>
        <v>100</v>
      </c>
      <c r="X27" s="1557"/>
      <c r="Y27" s="343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5"/>
      <c r="Q28" s="2543"/>
      <c r="R28" s="1555"/>
      <c r="S28" s="1556"/>
      <c r="T28" s="1555"/>
      <c r="U28" s="1556"/>
      <c r="V28" s="1555"/>
      <c r="W28" s="1556"/>
      <c r="X28" s="1557"/>
      <c r="Y28" s="343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5"/>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5"/>
      <c r="Q30" s="1559" t="str">
        <f t="shared" si="8"/>
        <v>毗邻道路的类型与等级</v>
      </c>
      <c r="R30" s="1560" t="s">
        <v>8</v>
      </c>
      <c r="S30" s="1561">
        <f t="shared" si="10"/>
        <v>100</v>
      </c>
      <c r="T30" s="1560" t="s">
        <v>8</v>
      </c>
      <c r="U30" s="1561">
        <f t="shared" si="11"/>
        <v>100</v>
      </c>
      <c r="V30" s="1560" t="s">
        <v>8</v>
      </c>
      <c r="W30" s="1561">
        <f t="shared" si="12"/>
        <v>100</v>
      </c>
      <c r="X30" s="1554"/>
      <c r="Y30" s="343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5"/>
      <c r="Q31" s="1559"/>
      <c r="R31" s="1560"/>
      <c r="S31" s="1561"/>
      <c r="T31" s="1560"/>
      <c r="U31" s="1561"/>
      <c r="V31" s="1560"/>
      <c r="W31" s="1561"/>
      <c r="X31" s="1554"/>
      <c r="Y31" s="343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5"/>
      <c r="Q32" s="1559" t="str">
        <f t="shared" si="8"/>
        <v>土地级别</v>
      </c>
      <c r="R32" s="1560" t="s">
        <v>8</v>
      </c>
      <c r="S32" s="1561">
        <f t="shared" si="10"/>
        <v>100</v>
      </c>
      <c r="T32" s="1560" t="s">
        <v>8</v>
      </c>
      <c r="U32" s="1561">
        <f t="shared" si="11"/>
        <v>100</v>
      </c>
      <c r="V32" s="1560" t="s">
        <v>8</v>
      </c>
      <c r="W32" s="1561">
        <f t="shared" si="12"/>
        <v>100</v>
      </c>
      <c r="X32" s="1554"/>
      <c r="Y32" s="343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5"/>
      <c r="Q33" s="1559">
        <f t="shared" si="8"/>
        <v>111</v>
      </c>
      <c r="R33" s="1560" t="s">
        <v>8</v>
      </c>
      <c r="S33" s="1561">
        <f t="shared" si="10"/>
        <v>100</v>
      </c>
      <c r="T33" s="1560" t="s">
        <v>8</v>
      </c>
      <c r="U33" s="1561">
        <f t="shared" si="11"/>
        <v>100</v>
      </c>
      <c r="V33" s="1560" t="s">
        <v>8</v>
      </c>
      <c r="W33" s="1561">
        <f t="shared" si="12"/>
        <v>100</v>
      </c>
      <c r="X33" s="1554"/>
      <c r="Y33" s="343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4.4">
      <c r="A43" s="607" t="s">
        <v>556</v>
      </c>
      <c r="B43" s="608" t="s">
        <v>2934</v>
      </c>
      <c r="C43" s="609" t="s">
        <v>1</v>
      </c>
      <c r="D43" s="610"/>
      <c r="E43" s="611"/>
      <c r="F43" s="612"/>
      <c r="G43" s="613"/>
      <c r="H43" s="614"/>
      <c r="I43" s="611"/>
      <c r="J43" s="614"/>
      <c r="K43" s="1336"/>
      <c r="L43" s="2130"/>
      <c r="M43" s="2120"/>
      <c r="N43" s="2120"/>
      <c r="O43" s="2131"/>
      <c r="P43" s="3400" t="str">
        <f>A43</f>
        <v>成交单价</v>
      </c>
      <c r="Q43" s="3400"/>
      <c r="R43" s="3401">
        <f>E43</f>
        <v>0</v>
      </c>
      <c r="S43" s="3401"/>
      <c r="T43" s="3401">
        <f>G43</f>
        <v>0</v>
      </c>
      <c r="U43" s="3401"/>
      <c r="V43" s="3401">
        <f>I43</f>
        <v>0</v>
      </c>
      <c r="W43" s="3401"/>
      <c r="X43" s="1546"/>
      <c r="Y43" s="1568"/>
      <c r="Z43" s="1546"/>
      <c r="AA43" s="1546"/>
      <c r="AB43" s="1546"/>
      <c r="AC43" s="1546"/>
    </row>
    <row r="44" spans="1:29" ht="1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400" t="str">
        <f>A44</f>
        <v>比较价格（元/平方米）</v>
      </c>
      <c r="Q44" s="3400"/>
      <c r="R44" s="3402" t="e">
        <f>ROUND(PRODUCT(R43,AA9:AA42),0)</f>
        <v>#DIV/0!</v>
      </c>
      <c r="S44" s="3402"/>
      <c r="T44" s="3402" t="e">
        <f>ROUND(PRODUCT(T43,AB9:AB42),0)</f>
        <v>#DIV/0!</v>
      </c>
      <c r="U44" s="3402"/>
      <c r="V44" s="3402" t="e">
        <f>ROUND(PRODUCT(V43,AC9:AC42),0)</f>
        <v>#DIV/0!</v>
      </c>
      <c r="W44" s="3402"/>
      <c r="X44" s="1546"/>
      <c r="Y44" s="1546"/>
      <c r="Z44" s="1546"/>
      <c r="AA44" s="1546"/>
      <c r="AB44" s="1546"/>
      <c r="AC44" s="1546"/>
    </row>
    <row r="45" spans="1:29" ht="15" thickBot="1">
      <c r="A45" s="621" t="s">
        <v>2935</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444" t="s">
        <v>2284</v>
      </c>
      <c r="H52" s="344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185881.35</v>
      </c>
      <c r="F53" s="1936" t="e">
        <f t="shared" ref="F53:F62" si="15">ROUND(B53*E53/10000,0)</f>
        <v>#DIV/0!</v>
      </c>
      <c r="G53" s="3446"/>
      <c r="H53" s="344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4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4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4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4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51281.989903754205</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38151.279999999999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2532</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6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0" t="s">
        <v>2782</v>
      </c>
      <c r="X8" s="3451"/>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6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9"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9"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6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9"/>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2"/>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49"/>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2"/>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3"/>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0" t="s">
        <v>1838</v>
      </c>
      <c r="B16" s="1424" t="s">
        <v>950</v>
      </c>
      <c r="C16" s="1052" t="e">
        <f>ROUND(IF(F17="与级别开发程度一致",0,(G17-E17)/C17),0)</f>
        <v>#DIV/0!</v>
      </c>
      <c r="D16" s="3457" t="s">
        <v>954</v>
      </c>
      <c r="E16" s="3458"/>
      <c r="F16" s="3457" t="s">
        <v>951</v>
      </c>
      <c r="G16" s="3458"/>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64"/>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43657</v>
      </c>
      <c r="H19" s="1464"/>
      <c r="I19" s="2741" t="str">
        <f>IF(H19="季度增幅（自定义）",SUMIF(N21:N24,E2,O21:O24),"")</f>
        <v/>
      </c>
      <c r="J19" s="1460"/>
      <c r="K19" s="3155"/>
      <c r="L19" s="2993" t="s">
        <v>2840</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2841</v>
      </c>
      <c r="M20" s="3164">
        <f>ROUND(SUMPRODUCT((地价!A4:A26=YEAR(G19)&amp;"-"&amp;ROUNDUP(MONTH(G19)/3,0))*(地价!B2:F2=E2)*(地价!B4:F26)),0)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2760</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2647</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67"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6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6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6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51" t="s">
        <v>2988</v>
      </c>
      <c r="C41" s="839" t="e">
        <f>ROUND(POWER(1+E41,H41-G41)*(POWER(1+E41,G41)-1)/(POWER(1+E41,H41)-1),4)</f>
        <v>#DIV/0!</v>
      </c>
      <c r="D41" s="378" t="s">
        <v>2986</v>
      </c>
      <c r="E41" s="3150">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50" t="s">
        <v>2937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9" t="s">
        <v>2936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50" t="s">
        <v>2938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9" t="s">
        <v>2936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9" t="s">
        <v>2936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9" t="s">
        <v>2936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5" t="s">
        <v>1633</v>
      </c>
      <c r="B90" s="3465"/>
      <c r="C90" s="3465"/>
      <c r="D90" s="3465"/>
      <c r="E90" s="3465"/>
      <c r="F90" s="3465"/>
      <c r="G90" s="3465"/>
      <c r="H90" s="3465"/>
      <c r="I90" s="3465"/>
      <c r="J90" s="3465"/>
      <c r="K90" s="2415"/>
      <c r="L90" s="2415"/>
      <c r="M90" s="2415"/>
      <c r="N90" s="2415"/>
    </row>
    <row r="91" spans="1:40">
      <c r="A91" s="3466" t="s">
        <v>1443</v>
      </c>
      <c r="B91" s="3466" t="s">
        <v>1634</v>
      </c>
      <c r="C91" s="1136" t="s">
        <v>1635</v>
      </c>
      <c r="D91" s="1137"/>
      <c r="E91" s="1137"/>
      <c r="F91" s="1137"/>
      <c r="G91" s="1137"/>
      <c r="H91" s="1137"/>
      <c r="I91" s="1137"/>
      <c r="J91" s="1138"/>
      <c r="K91" s="1130"/>
      <c r="L91" s="1130"/>
      <c r="M91" s="1130"/>
      <c r="N91" s="1130"/>
    </row>
    <row r="92" spans="1:40">
      <c r="A92" s="3466"/>
      <c r="B92" s="346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2"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2"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3"/>
      <c r="B108" s="345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4"/>
      <c r="B109" s="345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9" t="s">
        <v>1639</v>
      </c>
      <c r="B110" s="3459"/>
      <c r="C110" s="3459"/>
      <c r="D110" s="3459"/>
      <c r="E110" s="3459"/>
      <c r="F110" s="3459"/>
      <c r="G110" s="3459"/>
      <c r="H110" s="3459"/>
      <c r="I110" s="3459"/>
      <c r="J110" s="3459"/>
      <c r="K110" s="2413"/>
      <c r="L110" s="2413"/>
      <c r="M110" s="2413"/>
      <c r="N110" s="2413"/>
    </row>
    <row r="112" spans="1:14" ht="12.6" thickBot="1"/>
    <row r="113" spans="1:13" ht="25.8"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6" t="s">
        <v>1007</v>
      </c>
      <c r="B18" s="1150" t="s">
        <v>1446</v>
      </c>
      <c r="C18" s="1127" t="s">
        <v>1447</v>
      </c>
      <c r="D18" s="1128"/>
      <c r="E18" s="1150">
        <v>1</v>
      </c>
      <c r="F18" s="1129" t="s">
        <v>1448</v>
      </c>
      <c r="G18" s="1130"/>
      <c r="H18" s="1101"/>
      <c r="I18" s="1101"/>
    </row>
    <row r="19" spans="1:9" s="1585" customFormat="1" ht="19.5" customHeight="1">
      <c r="A19" s="3466"/>
      <c r="B19" s="3466" t="s">
        <v>1449</v>
      </c>
      <c r="C19" s="1127" t="s">
        <v>1450</v>
      </c>
      <c r="D19" s="1128"/>
      <c r="E19" s="1150">
        <v>0.9</v>
      </c>
      <c r="F19" s="1129" t="s">
        <v>1451</v>
      </c>
      <c r="G19" s="1130"/>
      <c r="H19" s="1101"/>
      <c r="I19" s="1101"/>
    </row>
    <row r="20" spans="1:9" s="1585" customFormat="1" ht="19.5" customHeight="1">
      <c r="A20" s="3466"/>
      <c r="B20" s="3466"/>
      <c r="C20" s="1127" t="s">
        <v>1452</v>
      </c>
      <c r="D20" s="1128"/>
      <c r="E20" s="1150">
        <v>1.1000000000000001</v>
      </c>
      <c r="F20" s="1129" t="s">
        <v>1453</v>
      </c>
      <c r="G20" s="1130"/>
      <c r="H20" s="1101"/>
      <c r="I20" s="1101"/>
    </row>
    <row r="21" spans="1:9" s="1585" customFormat="1" ht="19.5" customHeight="1">
      <c r="A21" s="3466"/>
      <c r="B21" s="3466"/>
      <c r="C21" s="1127" t="s">
        <v>1454</v>
      </c>
      <c r="D21" s="1128"/>
      <c r="E21" s="1150">
        <v>0.8</v>
      </c>
      <c r="F21" s="1129" t="s">
        <v>1455</v>
      </c>
      <c r="G21" s="1130"/>
      <c r="H21" s="1101"/>
      <c r="I21" s="1101"/>
    </row>
    <row r="22" spans="1:9" s="1585" customFormat="1" ht="19.5" customHeight="1">
      <c r="A22" s="3466"/>
      <c r="B22" s="3466"/>
      <c r="C22" s="1127" t="s">
        <v>1456</v>
      </c>
      <c r="D22" s="1128"/>
      <c r="E22" s="1150">
        <v>0.5</v>
      </c>
      <c r="F22" s="1129"/>
      <c r="G22" s="1130"/>
      <c r="H22" s="1101"/>
      <c r="I22" s="1101"/>
    </row>
    <row r="23" spans="1:9" s="1585" customFormat="1" ht="19.5" customHeight="1">
      <c r="A23" s="3466" t="s">
        <v>1029</v>
      </c>
      <c r="B23" s="1150" t="s">
        <v>1446</v>
      </c>
      <c r="C23" s="1127" t="s">
        <v>1457</v>
      </c>
      <c r="D23" s="1128"/>
      <c r="E23" s="1150">
        <v>1</v>
      </c>
      <c r="F23" s="1129" t="s">
        <v>1458</v>
      </c>
      <c r="G23" s="1130"/>
      <c r="H23" s="1101"/>
      <c r="I23" s="1101"/>
    </row>
    <row r="24" spans="1:9" s="1585" customFormat="1" ht="19.5" customHeight="1">
      <c r="A24" s="3466"/>
      <c r="B24" s="3466" t="s">
        <v>1449</v>
      </c>
      <c r="C24" s="1127" t="s">
        <v>1459</v>
      </c>
      <c r="D24" s="1128"/>
      <c r="E24" s="1150">
        <v>0.5</v>
      </c>
      <c r="F24" s="1129"/>
      <c r="G24" s="1130"/>
      <c r="H24" s="1101"/>
      <c r="I24" s="1101"/>
    </row>
    <row r="25" spans="1:9" s="1585" customFormat="1" ht="19.5" customHeight="1">
      <c r="A25" s="3466"/>
      <c r="B25" s="3466"/>
      <c r="C25" s="1127" t="s">
        <v>1460</v>
      </c>
      <c r="D25" s="1128"/>
      <c r="E25" s="1150">
        <v>1.1000000000000001</v>
      </c>
      <c r="F25" s="1129"/>
      <c r="G25" s="1130"/>
      <c r="H25" s="1101"/>
      <c r="I25" s="1101"/>
    </row>
    <row r="26" spans="1:9" s="1585" customFormat="1" ht="19.5" customHeight="1">
      <c r="A26" s="3466"/>
      <c r="B26" s="3466"/>
      <c r="C26" s="1127" t="s">
        <v>1461</v>
      </c>
      <c r="D26" s="1128"/>
      <c r="E26" s="1150">
        <v>1.1000000000000001</v>
      </c>
      <c r="F26" s="1129"/>
      <c r="G26" s="1130"/>
      <c r="H26" s="1101"/>
      <c r="I26" s="1101"/>
    </row>
    <row r="27" spans="1:9" s="1585" customFormat="1" ht="19.5" customHeight="1">
      <c r="A27" s="3466"/>
      <c r="B27" s="3466"/>
      <c r="C27" s="1127" t="s">
        <v>1462</v>
      </c>
      <c r="D27" s="1128"/>
      <c r="E27" s="1150">
        <v>0.9</v>
      </c>
      <c r="F27" s="1129" t="s">
        <v>1463</v>
      </c>
      <c r="G27" s="1130"/>
      <c r="H27" s="1101"/>
      <c r="I27" s="1101"/>
    </row>
    <row r="28" spans="1:9" s="1585" customFormat="1" ht="19.5" customHeight="1">
      <c r="A28" s="3466"/>
      <c r="B28" s="3466"/>
      <c r="C28" s="1127" t="s">
        <v>1464</v>
      </c>
      <c r="D28" s="1128"/>
      <c r="E28" s="1150">
        <v>0.9</v>
      </c>
      <c r="F28" s="1129" t="s">
        <v>1465</v>
      </c>
      <c r="G28" s="1130"/>
      <c r="H28" s="1101"/>
      <c r="I28" s="1101"/>
    </row>
    <row r="29" spans="1:9" s="1585" customFormat="1" ht="19.5" customHeight="1">
      <c r="A29" s="3466"/>
      <c r="B29" s="3466"/>
      <c r="C29" s="1127" t="s">
        <v>1466</v>
      </c>
      <c r="D29" s="1128"/>
      <c r="E29" s="1150">
        <v>0.9</v>
      </c>
      <c r="F29" s="1129" t="s">
        <v>1467</v>
      </c>
      <c r="G29" s="1130"/>
      <c r="H29" s="1101"/>
      <c r="I29" s="1101"/>
    </row>
    <row r="30" spans="1:9" s="1585" customFormat="1" ht="19.5" customHeight="1">
      <c r="A30" s="3466"/>
      <c r="B30" s="3466"/>
      <c r="C30" s="1127" t="s">
        <v>1468</v>
      </c>
      <c r="D30" s="1128"/>
      <c r="E30" s="1150">
        <v>0.9</v>
      </c>
      <c r="F30" s="1129" t="s">
        <v>1469</v>
      </c>
      <c r="G30" s="1130"/>
      <c r="H30" s="1101"/>
      <c r="I30" s="1101"/>
    </row>
    <row r="31" spans="1:9" s="1585" customFormat="1" ht="19.5" customHeight="1">
      <c r="A31" s="3466"/>
      <c r="B31" s="3466"/>
      <c r="C31" s="1127" t="s">
        <v>1470</v>
      </c>
      <c r="D31" s="1128"/>
      <c r="E31" s="1150">
        <v>0.8</v>
      </c>
      <c r="F31" s="1129" t="s">
        <v>1471</v>
      </c>
      <c r="G31" s="1130"/>
      <c r="H31" s="1101"/>
      <c r="I31" s="1101"/>
    </row>
    <row r="32" spans="1:9" s="1585" customFormat="1" ht="19.5" customHeight="1">
      <c r="A32" s="3466"/>
      <c r="B32" s="3466"/>
      <c r="C32" s="1127" t="s">
        <v>1472</v>
      </c>
      <c r="D32" s="1128"/>
      <c r="E32" s="1150">
        <v>0.8</v>
      </c>
      <c r="F32" s="1129" t="s">
        <v>1473</v>
      </c>
      <c r="G32" s="1130"/>
      <c r="H32" s="1101"/>
      <c r="I32" s="1101"/>
    </row>
    <row r="33" spans="1:9" s="1585" customFormat="1" ht="19.5" customHeight="1">
      <c r="A33" s="3466" t="s">
        <v>1474</v>
      </c>
      <c r="B33" s="1150" t="s">
        <v>1446</v>
      </c>
      <c r="C33" s="1127" t="s">
        <v>1475</v>
      </c>
      <c r="D33" s="1128"/>
      <c r="E33" s="1150">
        <v>1</v>
      </c>
      <c r="F33" s="1129" t="s">
        <v>1476</v>
      </c>
      <c r="G33" s="1130"/>
      <c r="H33" s="1101"/>
      <c r="I33" s="1101"/>
    </row>
    <row r="34" spans="1:9" s="1585" customFormat="1" ht="19.5" customHeight="1">
      <c r="A34" s="3466"/>
      <c r="B34" s="1150" t="s">
        <v>1449</v>
      </c>
      <c r="C34" s="1127" t="s">
        <v>1477</v>
      </c>
      <c r="D34" s="1128"/>
      <c r="E34" s="1150">
        <v>1.5</v>
      </c>
      <c r="F34" s="1129" t="s">
        <v>1478</v>
      </c>
      <c r="G34" s="1130"/>
      <c r="H34" s="1101"/>
      <c r="I34" s="1101"/>
    </row>
    <row r="35" spans="1:9" s="1585" customFormat="1" ht="19.5" customHeight="1">
      <c r="A35" s="3466" t="s">
        <v>1432</v>
      </c>
      <c r="B35" s="1150" t="s">
        <v>1446</v>
      </c>
      <c r="C35" s="1127" t="s">
        <v>1479</v>
      </c>
      <c r="D35" s="1128"/>
      <c r="E35" s="1150">
        <v>1</v>
      </c>
      <c r="F35" s="1129" t="s">
        <v>1480</v>
      </c>
      <c r="G35" s="1130"/>
      <c r="H35" s="1101"/>
      <c r="I35" s="1101"/>
    </row>
    <row r="36" spans="1:9" s="1585" customFormat="1" ht="19.5" customHeight="1">
      <c r="A36" s="3466"/>
      <c r="B36" s="3466" t="s">
        <v>1449</v>
      </c>
      <c r="C36" s="1127" t="s">
        <v>1481</v>
      </c>
      <c r="D36" s="1128"/>
      <c r="E36" s="1150">
        <v>1</v>
      </c>
      <c r="F36" s="1129" t="s">
        <v>1482</v>
      </c>
      <c r="G36" s="1130"/>
      <c r="H36" s="1101"/>
      <c r="I36" s="1101"/>
    </row>
    <row r="37" spans="1:9" s="1585" customFormat="1" ht="19.5" customHeight="1">
      <c r="A37" s="3466"/>
      <c r="B37" s="3466"/>
      <c r="C37" s="1127" t="s">
        <v>1483</v>
      </c>
      <c r="D37" s="1128"/>
      <c r="E37" s="1150">
        <v>1.5</v>
      </c>
      <c r="F37" s="1129" t="s">
        <v>1484</v>
      </c>
      <c r="G37" s="1130"/>
      <c r="H37" s="1101"/>
      <c r="I37" s="1101"/>
    </row>
    <row r="38" spans="1:9" s="1585" customFormat="1" ht="19.5" customHeight="1">
      <c r="A38" s="3466"/>
      <c r="B38" s="3466"/>
      <c r="C38" s="1127" t="s">
        <v>1485</v>
      </c>
      <c r="D38" s="1128"/>
      <c r="E38" s="1150">
        <v>1</v>
      </c>
      <c r="F38" s="1129" t="s">
        <v>1486</v>
      </c>
      <c r="G38" s="1130"/>
      <c r="H38" s="1101"/>
      <c r="I38" s="1101"/>
    </row>
    <row r="39" spans="1:9" s="1585" customFormat="1" ht="19.5" customHeight="1">
      <c r="A39" s="3466"/>
      <c r="B39" s="346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66" t="s">
        <v>1501</v>
      </c>
      <c r="C61" s="1064" t="s">
        <v>1502</v>
      </c>
      <c r="D61" s="1064" t="s">
        <v>1503</v>
      </c>
      <c r="E61" s="1135">
        <v>0.5</v>
      </c>
      <c r="F61" s="1150">
        <v>80</v>
      </c>
      <c r="H61" s="1101">
        <f>SUMIF(C59:C119,基准地价!C8,E59:E119)</f>
        <v>0</v>
      </c>
    </row>
    <row r="62" spans="1:8" s="1101" customFormat="1" ht="36">
      <c r="A62" s="1150">
        <v>2</v>
      </c>
      <c r="B62" s="3466"/>
      <c r="C62" s="1064" t="s">
        <v>1504</v>
      </c>
      <c r="D62" s="1064" t="s">
        <v>1505</v>
      </c>
      <c r="E62" s="1135">
        <v>0.5</v>
      </c>
      <c r="F62" s="1150">
        <v>80</v>
      </c>
    </row>
    <row r="63" spans="1:8" s="1101" customFormat="1" ht="48">
      <c r="A63" s="1150">
        <v>3</v>
      </c>
      <c r="B63" s="3466"/>
      <c r="C63" s="1064" t="s">
        <v>1506</v>
      </c>
      <c r="D63" s="1064" t="s">
        <v>1507</v>
      </c>
      <c r="E63" s="1135">
        <v>0.5</v>
      </c>
      <c r="F63" s="1150">
        <v>80</v>
      </c>
    </row>
    <row r="64" spans="1:8" s="1101" customFormat="1" ht="48">
      <c r="A64" s="1150">
        <v>4</v>
      </c>
      <c r="B64" s="3466"/>
      <c r="C64" s="1064" t="s">
        <v>1508</v>
      </c>
      <c r="D64" s="1064" t="s">
        <v>1509</v>
      </c>
      <c r="E64" s="1135">
        <v>0.4</v>
      </c>
      <c r="F64" s="1150">
        <v>60</v>
      </c>
    </row>
    <row r="65" spans="1:6" s="1101" customFormat="1" ht="48">
      <c r="A65" s="1150">
        <v>5</v>
      </c>
      <c r="B65" s="3466"/>
      <c r="C65" s="1064" t="s">
        <v>1510</v>
      </c>
      <c r="D65" s="1064" t="s">
        <v>1511</v>
      </c>
      <c r="E65" s="1135">
        <v>0.2</v>
      </c>
      <c r="F65" s="1150">
        <v>30</v>
      </c>
    </row>
    <row r="66" spans="1:6" s="1101" customFormat="1" ht="48">
      <c r="A66" s="1150">
        <v>6</v>
      </c>
      <c r="B66" s="3466"/>
      <c r="C66" s="1064" t="s">
        <v>1512</v>
      </c>
      <c r="D66" s="1064" t="s">
        <v>1513</v>
      </c>
      <c r="E66" s="1135">
        <v>0.3</v>
      </c>
      <c r="F66" s="1150">
        <v>50</v>
      </c>
    </row>
    <row r="67" spans="1:6" s="1101" customFormat="1" ht="48">
      <c r="A67" s="1150">
        <v>7</v>
      </c>
      <c r="B67" s="3466"/>
      <c r="C67" s="1064" t="s">
        <v>1514</v>
      </c>
      <c r="D67" s="1064" t="s">
        <v>1515</v>
      </c>
      <c r="E67" s="1135">
        <v>0.2</v>
      </c>
      <c r="F67" s="1150">
        <v>30</v>
      </c>
    </row>
    <row r="68" spans="1:6" s="1101" customFormat="1" ht="48">
      <c r="A68" s="1150">
        <v>8</v>
      </c>
      <c r="B68" s="3466"/>
      <c r="C68" s="1064" t="s">
        <v>1516</v>
      </c>
      <c r="D68" s="1064" t="s">
        <v>1517</v>
      </c>
      <c r="E68" s="1135">
        <v>0.2</v>
      </c>
      <c r="F68" s="1150">
        <v>30</v>
      </c>
    </row>
    <row r="69" spans="1:6" s="1101" customFormat="1" ht="48">
      <c r="A69" s="1150">
        <v>9</v>
      </c>
      <c r="B69" s="3466"/>
      <c r="C69" s="1064" t="s">
        <v>1518</v>
      </c>
      <c r="D69" s="1064" t="s">
        <v>1519</v>
      </c>
      <c r="E69" s="1135">
        <v>0.2</v>
      </c>
      <c r="F69" s="1150">
        <v>30</v>
      </c>
    </row>
    <row r="70" spans="1:6" s="1101" customFormat="1" ht="60">
      <c r="A70" s="1150">
        <v>10</v>
      </c>
      <c r="B70" s="3466"/>
      <c r="C70" s="1064" t="s">
        <v>1520</v>
      </c>
      <c r="D70" s="1064" t="s">
        <v>1521</v>
      </c>
      <c r="E70" s="1135">
        <v>0.2</v>
      </c>
      <c r="F70" s="1150">
        <v>30</v>
      </c>
    </row>
    <row r="71" spans="1:6" s="1101" customFormat="1" ht="60">
      <c r="A71" s="1150">
        <v>11</v>
      </c>
      <c r="B71" s="3466"/>
      <c r="C71" s="1064" t="s">
        <v>1522</v>
      </c>
      <c r="D71" s="1064" t="s">
        <v>1523</v>
      </c>
      <c r="E71" s="1135">
        <v>0.2</v>
      </c>
      <c r="F71" s="1150">
        <v>30</v>
      </c>
    </row>
    <row r="72" spans="1:6" s="1101" customFormat="1" ht="36">
      <c r="A72" s="1150">
        <v>12</v>
      </c>
      <c r="B72" s="3466"/>
      <c r="C72" s="1064" t="s">
        <v>1524</v>
      </c>
      <c r="D72" s="1064" t="s">
        <v>1525</v>
      </c>
      <c r="E72" s="1135">
        <v>0.5</v>
      </c>
      <c r="F72" s="1150">
        <v>80</v>
      </c>
    </row>
    <row r="73" spans="1:6" s="1101" customFormat="1" ht="36">
      <c r="A73" s="1150">
        <v>13</v>
      </c>
      <c r="B73" s="3466"/>
      <c r="C73" s="1064" t="s">
        <v>1526</v>
      </c>
      <c r="D73" s="1064" t="s">
        <v>1527</v>
      </c>
      <c r="E73" s="1135">
        <v>0.4</v>
      </c>
      <c r="F73" s="1150">
        <v>60</v>
      </c>
    </row>
    <row r="74" spans="1:6" s="1101" customFormat="1" ht="36">
      <c r="A74" s="1150">
        <v>14</v>
      </c>
      <c r="B74" s="3466"/>
      <c r="C74" s="1064" t="s">
        <v>1528</v>
      </c>
      <c r="D74" s="1064" t="s">
        <v>1529</v>
      </c>
      <c r="E74" s="1135">
        <v>0.2</v>
      </c>
      <c r="F74" s="1150">
        <v>30</v>
      </c>
    </row>
    <row r="75" spans="1:6" s="1101" customFormat="1" ht="36">
      <c r="A75" s="1150">
        <v>15</v>
      </c>
      <c r="B75" s="3466"/>
      <c r="C75" s="1064" t="s">
        <v>1530</v>
      </c>
      <c r="D75" s="1064" t="s">
        <v>1531</v>
      </c>
      <c r="E75" s="1135">
        <v>0.2</v>
      </c>
      <c r="F75" s="1150">
        <v>30</v>
      </c>
    </row>
    <row r="76" spans="1:6" s="1101" customFormat="1" ht="36">
      <c r="A76" s="1150">
        <v>16</v>
      </c>
      <c r="B76" s="3466" t="s">
        <v>1532</v>
      </c>
      <c r="C76" s="1064" t="s">
        <v>1533</v>
      </c>
      <c r="D76" s="1064" t="s">
        <v>1534</v>
      </c>
      <c r="E76" s="1135">
        <v>0.5</v>
      </c>
      <c r="F76" s="1150">
        <v>80</v>
      </c>
    </row>
    <row r="77" spans="1:6" s="1101" customFormat="1" ht="36">
      <c r="A77" s="1150">
        <v>17</v>
      </c>
      <c r="B77" s="3466"/>
      <c r="C77" s="1064" t="s">
        <v>1535</v>
      </c>
      <c r="D77" s="1064" t="s">
        <v>1536</v>
      </c>
      <c r="E77" s="1135">
        <v>0.5</v>
      </c>
      <c r="F77" s="1150">
        <v>80</v>
      </c>
    </row>
    <row r="78" spans="1:6" s="1101" customFormat="1" ht="36">
      <c r="A78" s="1150">
        <v>18</v>
      </c>
      <c r="B78" s="3466"/>
      <c r="C78" s="1064" t="s">
        <v>1537</v>
      </c>
      <c r="D78" s="1064" t="s">
        <v>1538</v>
      </c>
      <c r="E78" s="1135">
        <v>0.2</v>
      </c>
      <c r="F78" s="1150">
        <v>30</v>
      </c>
    </row>
    <row r="79" spans="1:6" s="1101" customFormat="1" ht="36">
      <c r="A79" s="1150">
        <v>19</v>
      </c>
      <c r="B79" s="3466"/>
      <c r="C79" s="1064" t="s">
        <v>1539</v>
      </c>
      <c r="D79" s="1064" t="s">
        <v>1540</v>
      </c>
      <c r="E79" s="1135">
        <v>0.5</v>
      </c>
      <c r="F79" s="1150">
        <v>80</v>
      </c>
    </row>
    <row r="80" spans="1:6" s="1101" customFormat="1" ht="36">
      <c r="A80" s="1150">
        <v>20</v>
      </c>
      <c r="B80" s="3466"/>
      <c r="C80" s="1064" t="s">
        <v>1541</v>
      </c>
      <c r="D80" s="1064" t="s">
        <v>1542</v>
      </c>
      <c r="E80" s="1135">
        <v>0.2</v>
      </c>
      <c r="F80" s="1150">
        <v>30</v>
      </c>
    </row>
    <row r="81" spans="1:6" s="1101" customFormat="1" ht="36">
      <c r="A81" s="1150">
        <v>21</v>
      </c>
      <c r="B81" s="3466"/>
      <c r="C81" s="1064" t="s">
        <v>1543</v>
      </c>
      <c r="D81" s="1064" t="s">
        <v>1544</v>
      </c>
      <c r="E81" s="1135">
        <v>0.2</v>
      </c>
      <c r="F81" s="1150">
        <v>30</v>
      </c>
    </row>
    <row r="82" spans="1:6" s="1101" customFormat="1" ht="60">
      <c r="A82" s="1150">
        <v>22</v>
      </c>
      <c r="B82" s="3466"/>
      <c r="C82" s="1064" t="s">
        <v>1545</v>
      </c>
      <c r="D82" s="1064" t="s">
        <v>1546</v>
      </c>
      <c r="E82" s="1135">
        <v>0.2</v>
      </c>
      <c r="F82" s="1150">
        <v>30</v>
      </c>
    </row>
    <row r="83" spans="1:6" s="1101" customFormat="1" ht="60">
      <c r="A83" s="1150">
        <v>23</v>
      </c>
      <c r="B83" s="3466"/>
      <c r="C83" s="1064" t="s">
        <v>1547</v>
      </c>
      <c r="D83" s="1064" t="s">
        <v>1548</v>
      </c>
      <c r="E83" s="1135">
        <v>0.2</v>
      </c>
      <c r="F83" s="1150">
        <v>30</v>
      </c>
    </row>
    <row r="84" spans="1:6" s="1101" customFormat="1" ht="48">
      <c r="A84" s="1150">
        <v>24</v>
      </c>
      <c r="B84" s="3466"/>
      <c r="C84" s="1064" t="s">
        <v>1549</v>
      </c>
      <c r="D84" s="1064" t="s">
        <v>1550</v>
      </c>
      <c r="E84" s="1135">
        <v>0.2</v>
      </c>
      <c r="F84" s="1150">
        <v>30</v>
      </c>
    </row>
    <row r="85" spans="1:6" s="1101" customFormat="1" ht="36">
      <c r="A85" s="1150">
        <v>25</v>
      </c>
      <c r="B85" s="3466"/>
      <c r="C85" s="1064" t="s">
        <v>1551</v>
      </c>
      <c r="D85" s="1064" t="s">
        <v>1552</v>
      </c>
      <c r="E85" s="1135">
        <v>0.5</v>
      </c>
      <c r="F85" s="1150">
        <v>80</v>
      </c>
    </row>
    <row r="86" spans="1:6" s="1101" customFormat="1" ht="36">
      <c r="A86" s="1150">
        <v>26</v>
      </c>
      <c r="B86" s="3466"/>
      <c r="C86" s="1064" t="s">
        <v>1553</v>
      </c>
      <c r="D86" s="1064" t="s">
        <v>1554</v>
      </c>
      <c r="E86" s="1135">
        <v>0.2</v>
      </c>
      <c r="F86" s="1150">
        <v>30</v>
      </c>
    </row>
    <row r="87" spans="1:6" s="1101" customFormat="1" ht="36">
      <c r="A87" s="1150">
        <v>27</v>
      </c>
      <c r="B87" s="3466"/>
      <c r="C87" s="1064" t="s">
        <v>1555</v>
      </c>
      <c r="D87" s="1064" t="s">
        <v>1556</v>
      </c>
      <c r="E87" s="1135">
        <v>0.2</v>
      </c>
      <c r="F87" s="1150">
        <v>30</v>
      </c>
    </row>
    <row r="88" spans="1:6" s="1101" customFormat="1" ht="36">
      <c r="A88" s="1150">
        <v>28</v>
      </c>
      <c r="B88" s="3466"/>
      <c r="C88" s="1064" t="s">
        <v>1557</v>
      </c>
      <c r="D88" s="1064" t="s">
        <v>1558</v>
      </c>
      <c r="E88" s="1135">
        <v>0.2</v>
      </c>
      <c r="F88" s="1150">
        <v>30</v>
      </c>
    </row>
    <row r="89" spans="1:6" s="1101" customFormat="1" ht="36">
      <c r="A89" s="1150">
        <v>29</v>
      </c>
      <c r="B89" s="3466"/>
      <c r="C89" s="1064" t="s">
        <v>1559</v>
      </c>
      <c r="D89" s="1064" t="s">
        <v>1560</v>
      </c>
      <c r="E89" s="1135">
        <v>0.2</v>
      </c>
      <c r="F89" s="1150">
        <v>30</v>
      </c>
    </row>
    <row r="90" spans="1:6" s="1101" customFormat="1" ht="36">
      <c r="A90" s="1150">
        <v>30</v>
      </c>
      <c r="B90" s="3466"/>
      <c r="C90" s="1064" t="s">
        <v>1561</v>
      </c>
      <c r="D90" s="1064" t="s">
        <v>1562</v>
      </c>
      <c r="E90" s="1135">
        <v>0.2</v>
      </c>
      <c r="F90" s="1150">
        <v>30</v>
      </c>
    </row>
    <row r="91" spans="1:6" s="1101" customFormat="1" ht="48">
      <c r="A91" s="1150">
        <v>31</v>
      </c>
      <c r="B91" s="3466"/>
      <c r="C91" s="1064" t="s">
        <v>1563</v>
      </c>
      <c r="D91" s="1064" t="s">
        <v>1564</v>
      </c>
      <c r="E91" s="1135">
        <v>0.2</v>
      </c>
      <c r="F91" s="1150">
        <v>30</v>
      </c>
    </row>
    <row r="92" spans="1:6" s="1101" customFormat="1" ht="36">
      <c r="A92" s="1150">
        <v>32</v>
      </c>
      <c r="B92" s="3466" t="s">
        <v>1565</v>
      </c>
      <c r="C92" s="1150" t="s">
        <v>1566</v>
      </c>
      <c r="D92" s="1064" t="s">
        <v>1567</v>
      </c>
      <c r="E92" s="1135">
        <v>0.2</v>
      </c>
      <c r="F92" s="1150">
        <v>30</v>
      </c>
    </row>
    <row r="93" spans="1:6" s="1101" customFormat="1" ht="36">
      <c r="A93" s="1150">
        <v>33</v>
      </c>
      <c r="B93" s="3466"/>
      <c r="C93" s="1150" t="s">
        <v>1568</v>
      </c>
      <c r="D93" s="1064" t="s">
        <v>1569</v>
      </c>
      <c r="E93" s="1135">
        <v>0.2</v>
      </c>
      <c r="F93" s="1150">
        <v>30</v>
      </c>
    </row>
    <row r="94" spans="1:6" s="1101" customFormat="1" ht="60">
      <c r="A94" s="1150">
        <v>34</v>
      </c>
      <c r="B94" s="3466"/>
      <c r="C94" s="1150" t="s">
        <v>1570</v>
      </c>
      <c r="D94" s="1064" t="s">
        <v>1571</v>
      </c>
      <c r="E94" s="1135">
        <v>0.2</v>
      </c>
      <c r="F94" s="1150">
        <v>30</v>
      </c>
    </row>
    <row r="95" spans="1:6" s="1101" customFormat="1" ht="48">
      <c r="A95" s="1150">
        <v>35</v>
      </c>
      <c r="B95" s="3466"/>
      <c r="C95" s="1150" t="s">
        <v>1572</v>
      </c>
      <c r="D95" s="1064" t="s">
        <v>1573</v>
      </c>
      <c r="E95" s="1135">
        <v>0.2</v>
      </c>
      <c r="F95" s="1150">
        <v>30</v>
      </c>
    </row>
    <row r="96" spans="1:6" s="1101" customFormat="1" ht="72">
      <c r="A96" s="1150">
        <v>36</v>
      </c>
      <c r="B96" s="3466"/>
      <c r="C96" s="1064" t="s">
        <v>1574</v>
      </c>
      <c r="D96" s="1064" t="s">
        <v>1575</v>
      </c>
      <c r="E96" s="1135">
        <v>0.2</v>
      </c>
      <c r="F96" s="1150">
        <v>30</v>
      </c>
    </row>
    <row r="97" spans="1:6" s="1101" customFormat="1" ht="36">
      <c r="A97" s="1150">
        <v>37</v>
      </c>
      <c r="B97" s="3466"/>
      <c r="C97" s="1150" t="s">
        <v>1576</v>
      </c>
      <c r="D97" s="1064" t="s">
        <v>1577</v>
      </c>
      <c r="E97" s="1135">
        <v>0.2</v>
      </c>
      <c r="F97" s="1150">
        <v>30</v>
      </c>
    </row>
    <row r="98" spans="1:6" s="1101" customFormat="1" ht="36">
      <c r="A98" s="1150">
        <v>38</v>
      </c>
      <c r="B98" s="3466"/>
      <c r="C98" s="1150" t="s">
        <v>1578</v>
      </c>
      <c r="D98" s="1064" t="s">
        <v>1579</v>
      </c>
      <c r="E98" s="1135">
        <v>0.2</v>
      </c>
      <c r="F98" s="1150">
        <v>30</v>
      </c>
    </row>
    <row r="99" spans="1:6" s="1101" customFormat="1" ht="36">
      <c r="A99" s="1150">
        <v>39</v>
      </c>
      <c r="B99" s="3466" t="s">
        <v>1580</v>
      </c>
      <c r="C99" s="1150" t="s">
        <v>1581</v>
      </c>
      <c r="D99" s="1064" t="s">
        <v>1582</v>
      </c>
      <c r="E99" s="1135">
        <v>0.3</v>
      </c>
      <c r="F99" s="1150">
        <v>50</v>
      </c>
    </row>
    <row r="100" spans="1:6" s="1101" customFormat="1" ht="36">
      <c r="A100" s="1150">
        <v>40</v>
      </c>
      <c r="B100" s="3466"/>
      <c r="C100" s="1150" t="s">
        <v>1583</v>
      </c>
      <c r="D100" s="1064" t="s">
        <v>1584</v>
      </c>
      <c r="E100" s="1135">
        <v>0.2</v>
      </c>
      <c r="F100" s="1150">
        <v>30</v>
      </c>
    </row>
    <row r="101" spans="1:6" s="1101" customFormat="1" ht="36">
      <c r="A101" s="1150">
        <v>41</v>
      </c>
      <c r="B101" s="346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66" t="s">
        <v>1595</v>
      </c>
      <c r="C105" s="1150" t="s">
        <v>1596</v>
      </c>
      <c r="D105" s="1064" t="s">
        <v>1597</v>
      </c>
      <c r="E105" s="1135">
        <v>0.2</v>
      </c>
      <c r="F105" s="1150">
        <v>30</v>
      </c>
    </row>
    <row r="106" spans="1:6" s="1101" customFormat="1" ht="48">
      <c r="A106" s="1150">
        <v>46</v>
      </c>
      <c r="B106" s="3466"/>
      <c r="C106" s="1150" t="s">
        <v>1598</v>
      </c>
      <c r="D106" s="1064" t="s">
        <v>1599</v>
      </c>
      <c r="E106" s="1135">
        <v>0.2</v>
      </c>
      <c r="F106" s="1150">
        <v>30</v>
      </c>
    </row>
    <row r="107" spans="1:6" s="1101" customFormat="1" ht="36">
      <c r="A107" s="1150">
        <v>47</v>
      </c>
      <c r="B107" s="3466" t="s">
        <v>1600</v>
      </c>
      <c r="C107" s="1150" t="s">
        <v>1601</v>
      </c>
      <c r="D107" s="1064" t="s">
        <v>1602</v>
      </c>
      <c r="E107" s="1135">
        <v>0.3</v>
      </c>
      <c r="F107" s="1150">
        <v>50</v>
      </c>
    </row>
    <row r="108" spans="1:6" s="1101" customFormat="1" ht="48">
      <c r="A108" s="1150">
        <v>48</v>
      </c>
      <c r="B108" s="346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66" t="s">
        <v>1611</v>
      </c>
      <c r="C111" s="1150" t="s">
        <v>1612</v>
      </c>
      <c r="D111" s="1064" t="s">
        <v>1613</v>
      </c>
      <c r="E111" s="1135">
        <v>0.2</v>
      </c>
      <c r="F111" s="1150">
        <v>30</v>
      </c>
    </row>
    <row r="112" spans="1:6" s="1101" customFormat="1" ht="36">
      <c r="A112" s="1150">
        <v>52</v>
      </c>
      <c r="B112" s="3466"/>
      <c r="C112" s="1150" t="s">
        <v>1614</v>
      </c>
      <c r="D112" s="1064" t="s">
        <v>1615</v>
      </c>
      <c r="E112" s="1135">
        <v>0.2</v>
      </c>
      <c r="F112" s="1150">
        <v>30</v>
      </c>
    </row>
    <row r="113" spans="1:14" s="1101" customFormat="1" ht="36">
      <c r="A113" s="1150">
        <v>53</v>
      </c>
      <c r="B113" s="346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66" t="s">
        <v>1624</v>
      </c>
      <c r="C116" s="1150" t="s">
        <v>1625</v>
      </c>
      <c r="D116" s="1064" t="s">
        <v>1626</v>
      </c>
      <c r="E116" s="1135">
        <v>0.2</v>
      </c>
      <c r="F116" s="1150">
        <v>30</v>
      </c>
    </row>
    <row r="117" spans="1:14" ht="36">
      <c r="A117" s="1150">
        <v>57</v>
      </c>
      <c r="B117" s="346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65" t="s">
        <v>1633</v>
      </c>
      <c r="B121" s="3465"/>
      <c r="C121" s="3465"/>
      <c r="D121" s="3465"/>
      <c r="E121" s="3465"/>
      <c r="F121" s="3465"/>
      <c r="G121" s="3465"/>
      <c r="H121" s="3465"/>
      <c r="I121" s="3465"/>
      <c r="J121" s="346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74" t="s">
        <v>2079</v>
      </c>
      <c r="B1" s="3474"/>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82" t="s">
        <v>2575</v>
      </c>
      <c r="C1" s="3482"/>
      <c r="D1" s="3482"/>
      <c r="E1" s="3482"/>
      <c r="F1" s="3482"/>
      <c r="G1" s="3481" t="s">
        <v>2576</v>
      </c>
      <c r="H1" s="3481"/>
      <c r="I1" s="3481"/>
      <c r="J1" s="3481"/>
      <c r="K1" s="3481"/>
      <c r="L1" s="3481"/>
      <c r="N1" s="3481" t="s">
        <v>2577</v>
      </c>
      <c r="O1" s="3481"/>
      <c r="P1" s="3481"/>
      <c r="Q1" s="3481"/>
      <c r="R1" s="2619"/>
      <c r="S1" s="3481" t="s">
        <v>2578</v>
      </c>
      <c r="T1" s="3481"/>
      <c r="U1" s="3481"/>
      <c r="V1" s="3481"/>
      <c r="X1" s="3480" t="s">
        <v>2638</v>
      </c>
      <c r="Y1" s="3481"/>
      <c r="Z1" s="3481"/>
      <c r="AA1" s="3481"/>
      <c r="AB1" s="3481"/>
      <c r="AD1" s="3480" t="s">
        <v>2642</v>
      </c>
      <c r="AE1" s="3481"/>
      <c r="AF1" s="3481"/>
      <c r="AG1" s="3481"/>
      <c r="AH1" s="3481"/>
    </row>
    <row r="2" spans="1:34" s="2720" customFormat="1" ht="15" thickBot="1">
      <c r="B2" s="2728" t="s">
        <v>2579</v>
      </c>
      <c r="C2" s="2728" t="s">
        <v>2640</v>
      </c>
      <c r="D2" s="2721" t="s">
        <v>1644</v>
      </c>
      <c r="E2" s="2721" t="s">
        <v>1949</v>
      </c>
      <c r="F2" s="2728" t="s">
        <v>2641</v>
      </c>
      <c r="G2" s="2724"/>
      <c r="H2" s="2723"/>
      <c r="I2" s="2728" t="s">
        <v>2956</v>
      </c>
      <c r="J2" s="2721" t="s">
        <v>2958</v>
      </c>
      <c r="K2" s="2721" t="s">
        <v>2959</v>
      </c>
      <c r="L2" s="2728" t="s">
        <v>2960</v>
      </c>
      <c r="N2" s="2728" t="s">
        <v>2579</v>
      </c>
      <c r="O2" s="2721" t="s">
        <v>2957</v>
      </c>
      <c r="P2" s="2721" t="s">
        <v>1949</v>
      </c>
      <c r="Q2" s="2728" t="s">
        <v>2641</v>
      </c>
      <c r="R2" s="2722"/>
      <c r="S2" s="2728" t="s">
        <v>2579</v>
      </c>
      <c r="T2" s="2721" t="s">
        <v>2957</v>
      </c>
      <c r="U2" s="2721" t="s">
        <v>1949</v>
      </c>
      <c r="V2" s="2728" t="s">
        <v>2641</v>
      </c>
      <c r="X2" s="2728" t="s">
        <v>2579</v>
      </c>
      <c r="Y2" s="2728" t="s">
        <v>2640</v>
      </c>
      <c r="Z2" s="2721" t="s">
        <v>1644</v>
      </c>
      <c r="AA2" s="2721" t="s">
        <v>1949</v>
      </c>
      <c r="AB2" s="2728" t="s">
        <v>2641</v>
      </c>
      <c r="AD2" s="2728" t="s">
        <v>2579</v>
      </c>
      <c r="AE2" s="2728" t="s">
        <v>2640</v>
      </c>
      <c r="AF2" s="2721" t="s">
        <v>1644</v>
      </c>
      <c r="AG2" s="2721" t="s">
        <v>1949</v>
      </c>
      <c r="AH2" s="2728" t="s">
        <v>2641</v>
      </c>
    </row>
    <row r="3" spans="1:34" s="3084" customFormat="1" ht="14.4">
      <c r="A3" s="3096" t="s">
        <v>2969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8" thickBot="1">
      <c r="A5" s="3066" t="s">
        <v>2992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8" thickBot="1">
      <c r="A6" s="2620" t="s">
        <v>2993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6">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 customHeight="1">
      <c r="A8" s="2620" t="s">
        <v>2979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6"/>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 customHeight="1">
      <c r="A9" s="2620" t="s">
        <v>2980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6"/>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77"/>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2967</v>
      </c>
      <c r="B11" s="3098">
        <v>439</v>
      </c>
      <c r="C11" s="3098">
        <v>327</v>
      </c>
      <c r="D11" s="3098">
        <f t="shared" si="54"/>
        <v>327</v>
      </c>
      <c r="E11" s="3098">
        <v>627</v>
      </c>
      <c r="F11" s="3099">
        <v>283</v>
      </c>
      <c r="G11" s="3475">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 customHeight="1">
      <c r="A12" s="2620" t="s">
        <v>2971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6"/>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 customHeight="1">
      <c r="A13" s="2620" t="s">
        <v>2580</v>
      </c>
      <c r="B13" s="2633">
        <f t="shared" si="66"/>
        <v>419.31181600000002</v>
      </c>
      <c r="C13" s="2633">
        <f t="shared" si="66"/>
        <v>313.95436800000004</v>
      </c>
      <c r="D13" s="2633">
        <f t="shared" si="54"/>
        <v>313.95436800000004</v>
      </c>
      <c r="E13" s="2633">
        <f t="shared" si="67"/>
        <v>596.63028431999999</v>
      </c>
      <c r="F13" s="2633">
        <f t="shared" si="67"/>
        <v>274.74220703999998</v>
      </c>
      <c r="G13" s="3476"/>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2581</v>
      </c>
      <c r="B14" s="2633">
        <f t="shared" si="66"/>
        <v>405.524</v>
      </c>
      <c r="C14" s="2633">
        <f t="shared" si="66"/>
        <v>307.79840000000002</v>
      </c>
      <c r="D14" s="2633">
        <f t="shared" si="54"/>
        <v>307.79840000000002</v>
      </c>
      <c r="E14" s="2633">
        <f t="shared" si="67"/>
        <v>574.67759999999998</v>
      </c>
      <c r="F14" s="2633">
        <f t="shared" si="67"/>
        <v>270.20280000000002</v>
      </c>
      <c r="G14" s="3477"/>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75">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6"/>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6"/>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8"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79"/>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8" thickBot="1">
      <c r="A19" s="2620" t="s">
        <v>967</v>
      </c>
      <c r="B19" s="2625">
        <v>333</v>
      </c>
      <c r="C19" s="2625">
        <v>277</v>
      </c>
      <c r="D19" s="2625">
        <f t="shared" si="76"/>
        <v>277</v>
      </c>
      <c r="E19" s="2625">
        <v>459</v>
      </c>
      <c r="F19" s="2626">
        <v>249</v>
      </c>
      <c r="G19" s="3478">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6"/>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6"/>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79"/>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8" thickBot="1">
      <c r="A23" s="2620" t="s">
        <v>963</v>
      </c>
      <c r="B23" s="2647">
        <v>318</v>
      </c>
      <c r="C23" s="2647">
        <v>268</v>
      </c>
      <c r="D23" s="2647">
        <f t="shared" si="76"/>
        <v>268</v>
      </c>
      <c r="E23" s="2647">
        <v>437</v>
      </c>
      <c r="F23" s="2648">
        <v>237</v>
      </c>
      <c r="G23" s="3478">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6"/>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8"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6"/>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8"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79"/>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2639</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8" thickBot="1">
      <c r="A27" s="2620" t="s">
        <v>2582</v>
      </c>
      <c r="B27" s="2625">
        <v>299</v>
      </c>
      <c r="C27" s="2625">
        <v>252</v>
      </c>
      <c r="D27" s="2625">
        <f t="shared" si="76"/>
        <v>252</v>
      </c>
      <c r="E27" s="2625">
        <v>409</v>
      </c>
      <c r="F27" s="2626">
        <v>227</v>
      </c>
      <c r="G27" s="3483">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2583</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4"/>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2584</v>
      </c>
      <c r="B29" s="2633">
        <f t="shared" si="85"/>
        <v>288.2649053828776</v>
      </c>
      <c r="C29" s="2633">
        <f t="shared" si="85"/>
        <v>243.64564425013293</v>
      </c>
      <c r="D29" s="2633">
        <f t="shared" si="76"/>
        <v>243.64564425013293</v>
      </c>
      <c r="E29" s="2633">
        <f t="shared" si="86"/>
        <v>393.31080825986544</v>
      </c>
      <c r="F29" s="2633">
        <f t="shared" si="86"/>
        <v>223.07903790551154</v>
      </c>
      <c r="G29" s="3484"/>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2585</v>
      </c>
      <c r="B30" s="2633">
        <f t="shared" si="85"/>
        <v>282.50186729015837</v>
      </c>
      <c r="C30" s="2633">
        <f t="shared" si="85"/>
        <v>238.09796174155468</v>
      </c>
      <c r="D30" s="2633">
        <f t="shared" si="76"/>
        <v>238.09796174155468</v>
      </c>
      <c r="E30" s="2633">
        <f t="shared" si="86"/>
        <v>385.33438646014054</v>
      </c>
      <c r="F30" s="2633">
        <f t="shared" si="86"/>
        <v>221.55034055567739</v>
      </c>
      <c r="G30" s="3485"/>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8" thickBot="1">
      <c r="A31" s="2620" t="s">
        <v>2586</v>
      </c>
      <c r="B31" s="2663">
        <v>278</v>
      </c>
      <c r="C31" s="2663">
        <v>234</v>
      </c>
      <c r="D31" s="2663">
        <f t="shared" si="76"/>
        <v>234</v>
      </c>
      <c r="E31" s="2663">
        <v>379</v>
      </c>
      <c r="F31" s="2664">
        <v>220</v>
      </c>
      <c r="G31" s="3478">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2587</v>
      </c>
      <c r="B32" s="2633">
        <f>B31/(1+N31)</f>
        <v>275.49301357645425</v>
      </c>
      <c r="C32" s="2633">
        <f>C31/(1+O31)</f>
        <v>232.41954707985698</v>
      </c>
      <c r="D32" s="2633">
        <f t="shared" si="76"/>
        <v>232.41954707985698</v>
      </c>
      <c r="E32" s="2633">
        <f t="shared" ref="E32:F34" si="87">E31/(1+P31)</f>
        <v>375.32184591008121</v>
      </c>
      <c r="F32" s="2633">
        <f t="shared" si="87"/>
        <v>218.03766105054513</v>
      </c>
      <c r="G32" s="3476"/>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2588</v>
      </c>
      <c r="B33" s="2633">
        <f>B32/(1+N32)</f>
        <v>275.24529281292263</v>
      </c>
      <c r="C33" s="2633">
        <f>C32/(1+O32)</f>
        <v>231.74747938962707</v>
      </c>
      <c r="D33" s="2633">
        <f t="shared" si="76"/>
        <v>231.74747938962707</v>
      </c>
      <c r="E33" s="2633">
        <f t="shared" si="87"/>
        <v>375.35938184826603</v>
      </c>
      <c r="F33" s="2633">
        <f t="shared" si="87"/>
        <v>216.78033510692495</v>
      </c>
      <c r="G33" s="3476"/>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8" thickBot="1">
      <c r="A34" s="2620" t="s">
        <v>2589</v>
      </c>
      <c r="B34" s="2633">
        <f>B33/(1+N33)</f>
        <v>275.19025476197027</v>
      </c>
      <c r="C34" s="2665">
        <v>232</v>
      </c>
      <c r="D34" s="2665">
        <f t="shared" si="76"/>
        <v>232</v>
      </c>
      <c r="E34" s="2633">
        <f t="shared" si="87"/>
        <v>375.65990977608692</v>
      </c>
      <c r="F34" s="2633">
        <f t="shared" si="87"/>
        <v>214.12518283971252</v>
      </c>
      <c r="G34" s="3479"/>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8" thickBot="1">
      <c r="A35" s="2620" t="s">
        <v>2590</v>
      </c>
      <c r="B35" s="2625">
        <v>275</v>
      </c>
      <c r="C35" s="2625">
        <v>232</v>
      </c>
      <c r="D35" s="2625">
        <f t="shared" si="76"/>
        <v>232</v>
      </c>
      <c r="E35" s="2625">
        <v>376</v>
      </c>
      <c r="F35" s="2626">
        <v>213</v>
      </c>
      <c r="G35" s="3478">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2591</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6">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2592</v>
      </c>
      <c r="B37" s="2633">
        <f t="shared" si="88"/>
        <v>275.19335084830601</v>
      </c>
      <c r="C37" s="2633">
        <f t="shared" si="88"/>
        <v>230.18088050139744</v>
      </c>
      <c r="D37" s="2633">
        <f t="shared" si="76"/>
        <v>230.18088050139744</v>
      </c>
      <c r="E37" s="2633">
        <f t="shared" si="89"/>
        <v>377.58482925212331</v>
      </c>
      <c r="F37" s="2633">
        <f t="shared" si="89"/>
        <v>210.90687997847917</v>
      </c>
      <c r="G37" s="3476">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8" thickBot="1">
      <c r="A38" s="2620" t="s">
        <v>2593</v>
      </c>
      <c r="B38" s="2633">
        <f t="shared" si="88"/>
        <v>276.29854502841971</v>
      </c>
      <c r="C38" s="2633">
        <f t="shared" si="88"/>
        <v>229.79023709833027</v>
      </c>
      <c r="D38" s="2633">
        <f t="shared" si="76"/>
        <v>229.79023709833027</v>
      </c>
      <c r="E38" s="2633">
        <f t="shared" si="89"/>
        <v>379.78759731655936</v>
      </c>
      <c r="F38" s="2633">
        <f t="shared" si="89"/>
        <v>211.32953905659235</v>
      </c>
      <c r="G38" s="3479">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8" thickBot="1">
      <c r="A39" s="2620" t="s">
        <v>2594</v>
      </c>
      <c r="B39" s="2625">
        <v>269</v>
      </c>
      <c r="C39" s="2625">
        <v>221</v>
      </c>
      <c r="D39" s="2625">
        <f t="shared" si="76"/>
        <v>221</v>
      </c>
      <c r="E39" s="2625">
        <v>373</v>
      </c>
      <c r="F39" s="2626">
        <v>196</v>
      </c>
      <c r="G39" s="3478">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2595</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6">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2596</v>
      </c>
      <c r="B41" s="2633">
        <f t="shared" si="90"/>
        <v>242.95398227588385</v>
      </c>
      <c r="C41" s="2633">
        <f t="shared" si="90"/>
        <v>199.59137053614126</v>
      </c>
      <c r="D41" s="2633">
        <f t="shared" si="76"/>
        <v>199.59137053614126</v>
      </c>
      <c r="E41" s="2633">
        <f t="shared" si="91"/>
        <v>335.92189522342125</v>
      </c>
      <c r="F41" s="2633">
        <f t="shared" si="91"/>
        <v>183.10139991109489</v>
      </c>
      <c r="G41" s="3476">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8" thickBot="1">
      <c r="A42" s="2620" t="s">
        <v>2597</v>
      </c>
      <c r="B42" s="2633">
        <f t="shared" si="90"/>
        <v>232.06990378821649</v>
      </c>
      <c r="C42" s="2633">
        <f t="shared" si="90"/>
        <v>192.74878854286936</v>
      </c>
      <c r="D42" s="2633">
        <f t="shared" si="76"/>
        <v>192.74878854286936</v>
      </c>
      <c r="E42" s="2633">
        <f t="shared" si="91"/>
        <v>319.71247284992984</v>
      </c>
      <c r="F42" s="2633">
        <f t="shared" si="91"/>
        <v>175.67053622862409</v>
      </c>
      <c r="G42" s="3479">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8" thickBot="1">
      <c r="A43" s="2620" t="s">
        <v>2598</v>
      </c>
      <c r="B43" s="2625">
        <v>220</v>
      </c>
      <c r="C43" s="2625">
        <v>187</v>
      </c>
      <c r="D43" s="2625">
        <f t="shared" si="76"/>
        <v>187</v>
      </c>
      <c r="E43" s="2625">
        <v>301</v>
      </c>
      <c r="F43" s="2626">
        <v>168</v>
      </c>
      <c r="G43" s="3478">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2599</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6">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2600</v>
      </c>
      <c r="B45" s="2633">
        <f t="shared" si="92"/>
        <v>210.630522469011</v>
      </c>
      <c r="C45" s="2633">
        <f t="shared" si="92"/>
        <v>181.69567812247232</v>
      </c>
      <c r="D45" s="2633">
        <f t="shared" si="76"/>
        <v>181.69567812247232</v>
      </c>
      <c r="E45" s="2633">
        <f t="shared" si="93"/>
        <v>286.13517466736738</v>
      </c>
      <c r="F45" s="2633">
        <f t="shared" si="93"/>
        <v>165.47535084591149</v>
      </c>
      <c r="G45" s="3476">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2601</v>
      </c>
      <c r="B46" s="2633">
        <f t="shared" si="92"/>
        <v>208.83454537875372</v>
      </c>
      <c r="C46" s="2633">
        <f t="shared" si="92"/>
        <v>183.77230517090351</v>
      </c>
      <c r="D46" s="2633">
        <f t="shared" si="76"/>
        <v>183.77230517090351</v>
      </c>
      <c r="E46" s="2633">
        <f t="shared" si="93"/>
        <v>281.10342338870947</v>
      </c>
      <c r="F46" s="2633">
        <f t="shared" si="93"/>
        <v>168.97309388942256</v>
      </c>
      <c r="G46" s="3479">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8" thickBot="1">
      <c r="A47" s="2620" t="s">
        <v>2602</v>
      </c>
      <c r="B47" s="2663">
        <v>214</v>
      </c>
      <c r="C47" s="2663">
        <v>188</v>
      </c>
      <c r="D47" s="2663">
        <f t="shared" si="76"/>
        <v>188</v>
      </c>
      <c r="E47" s="2663">
        <v>289</v>
      </c>
      <c r="F47" s="2664">
        <v>166</v>
      </c>
      <c r="G47" s="3478">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2603</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6">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2604</v>
      </c>
      <c r="B49" s="2633">
        <f t="shared" si="94"/>
        <v>206.31694671589116</v>
      </c>
      <c r="C49" s="2633">
        <f t="shared" si="94"/>
        <v>183.61041121036101</v>
      </c>
      <c r="D49" s="2633">
        <f t="shared" si="76"/>
        <v>183.61041121036101</v>
      </c>
      <c r="E49" s="2633">
        <f t="shared" si="95"/>
        <v>276.66850301795557</v>
      </c>
      <c r="F49" s="2633">
        <f t="shared" si="95"/>
        <v>165.1360938278614</v>
      </c>
      <c r="G49" s="3476">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8" thickBot="1">
      <c r="A50" s="2620" t="s">
        <v>2605</v>
      </c>
      <c r="B50" s="2666">
        <f t="shared" si="94"/>
        <v>196.62341248059772</v>
      </c>
      <c r="C50" s="2666">
        <f t="shared" si="94"/>
        <v>170.99125648199012</v>
      </c>
      <c r="D50" s="2666">
        <f t="shared" si="76"/>
        <v>170.99125648199012</v>
      </c>
      <c r="E50" s="2666">
        <f t="shared" si="95"/>
        <v>266.07857570490052</v>
      </c>
      <c r="F50" s="2666">
        <f t="shared" si="95"/>
        <v>154.53499328828505</v>
      </c>
      <c r="G50" s="3479">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8" thickBot="1">
      <c r="A51" s="2620" t="s">
        <v>2606</v>
      </c>
      <c r="B51" s="2625">
        <v>188</v>
      </c>
      <c r="C51" s="2625">
        <v>165</v>
      </c>
      <c r="D51" s="2625">
        <f t="shared" si="76"/>
        <v>165</v>
      </c>
      <c r="E51" s="2625">
        <v>254</v>
      </c>
      <c r="F51" s="2626">
        <v>148</v>
      </c>
      <c r="G51" s="3478">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2607</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6">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2608</v>
      </c>
      <c r="B53" s="2633">
        <f t="shared" si="98"/>
        <v>168.82017748715555</v>
      </c>
      <c r="C53" s="2633">
        <f t="shared" si="98"/>
        <v>148.06267029972753</v>
      </c>
      <c r="D53" s="2633">
        <f t="shared" si="76"/>
        <v>148.06267029972753</v>
      </c>
      <c r="E53" s="2633">
        <f t="shared" si="99"/>
        <v>216.46288379323747</v>
      </c>
      <c r="F53" s="2633">
        <f t="shared" si="99"/>
        <v>134.23529411764704</v>
      </c>
      <c r="G53" s="3476">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2609</v>
      </c>
      <c r="B54" s="2633">
        <f t="shared" si="98"/>
        <v>163.84913591779542</v>
      </c>
      <c r="C54" s="2633">
        <f t="shared" si="98"/>
        <v>145.0283378746594</v>
      </c>
      <c r="D54" s="2633">
        <f t="shared" si="76"/>
        <v>145.0283378746594</v>
      </c>
      <c r="E54" s="2633">
        <f t="shared" si="99"/>
        <v>204.95180722891567</v>
      </c>
      <c r="F54" s="2633">
        <f t="shared" si="99"/>
        <v>125.95920303605313</v>
      </c>
      <c r="G54" s="3479">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8" thickBot="1">
      <c r="A55" s="2620" t="s">
        <v>2610</v>
      </c>
      <c r="B55" s="2647">
        <v>159</v>
      </c>
      <c r="C55" s="2647">
        <v>141</v>
      </c>
      <c r="D55" s="2647">
        <f t="shared" si="76"/>
        <v>141</v>
      </c>
      <c r="E55" s="2647">
        <v>195</v>
      </c>
      <c r="F55" s="2648">
        <v>122</v>
      </c>
      <c r="G55" s="3478">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2611</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6">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2612</v>
      </c>
      <c r="B57" s="2633">
        <f t="shared" si="102"/>
        <v>146.57412060301507</v>
      </c>
      <c r="C57" s="2633">
        <f t="shared" si="102"/>
        <v>136.46831955922866</v>
      </c>
      <c r="D57" s="2633">
        <f t="shared" si="76"/>
        <v>136.46831955922866</v>
      </c>
      <c r="E57" s="2633">
        <f t="shared" si="103"/>
        <v>166.73864894795128</v>
      </c>
      <c r="F57" s="2633">
        <f t="shared" si="103"/>
        <v>115.05882352941177</v>
      </c>
      <c r="G57" s="3476">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2613</v>
      </c>
      <c r="B58" s="2633">
        <f t="shared" si="102"/>
        <v>144.04145728643215</v>
      </c>
      <c r="C58" s="2633">
        <f t="shared" si="102"/>
        <v>136.12396694214877</v>
      </c>
      <c r="D58" s="2633">
        <f t="shared" si="76"/>
        <v>136.12396694214877</v>
      </c>
      <c r="E58" s="2633">
        <f t="shared" si="103"/>
        <v>158.32225913621264</v>
      </c>
      <c r="F58" s="2633">
        <f t="shared" si="103"/>
        <v>114.04278074866311</v>
      </c>
      <c r="G58" s="3479">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8" thickBot="1">
      <c r="A59" s="2620" t="s">
        <v>2614</v>
      </c>
      <c r="B59" s="2647">
        <v>138</v>
      </c>
      <c r="C59" s="2647">
        <v>131</v>
      </c>
      <c r="D59" s="2647">
        <f t="shared" si="76"/>
        <v>131</v>
      </c>
      <c r="E59" s="2647">
        <v>155</v>
      </c>
      <c r="F59" s="2648">
        <v>114</v>
      </c>
      <c r="G59" s="3478">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2615</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6">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2616</v>
      </c>
      <c r="B61" s="2633">
        <f t="shared" si="106"/>
        <v>124.29032258064517</v>
      </c>
      <c r="C61" s="2633">
        <f t="shared" si="106"/>
        <v>123.8968609865471</v>
      </c>
      <c r="D61" s="2633">
        <f t="shared" si="76"/>
        <v>123.8968609865471</v>
      </c>
      <c r="E61" s="2633">
        <f t="shared" si="107"/>
        <v>138.00507614213197</v>
      </c>
      <c r="F61" s="2633">
        <f t="shared" si="107"/>
        <v>107.96106557377048</v>
      </c>
      <c r="G61" s="3476">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2617</v>
      </c>
      <c r="B62" s="2633">
        <f t="shared" si="106"/>
        <v>122.57204301075269</v>
      </c>
      <c r="C62" s="2633">
        <f t="shared" si="106"/>
        <v>123.4932735426009</v>
      </c>
      <c r="D62" s="2633">
        <f t="shared" si="76"/>
        <v>123.4932735426009</v>
      </c>
      <c r="E62" s="2633">
        <f t="shared" si="107"/>
        <v>129.82233502538071</v>
      </c>
      <c r="F62" s="2633">
        <f t="shared" si="107"/>
        <v>107.39446721311475</v>
      </c>
      <c r="G62" s="3479">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8" thickBot="1">
      <c r="A63" s="2620" t="s">
        <v>2618</v>
      </c>
      <c r="B63" s="2663">
        <v>121</v>
      </c>
      <c r="C63" s="2663">
        <v>122</v>
      </c>
      <c r="D63" s="2663">
        <f t="shared" si="76"/>
        <v>122</v>
      </c>
      <c r="E63" s="2663">
        <v>124</v>
      </c>
      <c r="F63" s="2664">
        <v>107</v>
      </c>
      <c r="G63" s="3478">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2619</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6">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2620</v>
      </c>
      <c r="B65" s="2633">
        <f t="shared" si="110"/>
        <v>116.99099099099099</v>
      </c>
      <c r="C65" s="2633">
        <f t="shared" si="110"/>
        <v>118.84848484848486</v>
      </c>
      <c r="D65" s="2633">
        <f t="shared" si="76"/>
        <v>118.84848484848486</v>
      </c>
      <c r="E65" s="2633">
        <f t="shared" si="111"/>
        <v>117.60960960960961</v>
      </c>
      <c r="F65" s="2633">
        <f t="shared" si="111"/>
        <v>104</v>
      </c>
      <c r="G65" s="3476">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8" thickBot="1">
      <c r="A66" s="2620" t="s">
        <v>2621</v>
      </c>
      <c r="B66" s="2666">
        <f t="shared" si="110"/>
        <v>112.48648648648648</v>
      </c>
      <c r="C66" s="2666">
        <f t="shared" si="110"/>
        <v>115.21212121212122</v>
      </c>
      <c r="D66" s="2666">
        <f t="shared" si="76"/>
        <v>115.21212121212122</v>
      </c>
      <c r="E66" s="2666">
        <f t="shared" si="111"/>
        <v>110.4024024024024</v>
      </c>
      <c r="F66" s="2666">
        <f t="shared" si="111"/>
        <v>104</v>
      </c>
      <c r="G66" s="3479">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8" thickBot="1">
      <c r="A67" s="2620" t="s">
        <v>2622</v>
      </c>
      <c r="B67" s="2684">
        <v>111</v>
      </c>
      <c r="C67" s="2684">
        <v>114</v>
      </c>
      <c r="D67" s="2684">
        <f t="shared" si="76"/>
        <v>114</v>
      </c>
      <c r="E67" s="2684">
        <v>108</v>
      </c>
      <c r="F67" s="2685">
        <v>104</v>
      </c>
      <c r="G67" s="3478">
        <v>2003</v>
      </c>
      <c r="H67" s="2674">
        <v>4</v>
      </c>
      <c r="I67" s="2686"/>
      <c r="J67" s="2686"/>
      <c r="K67" s="2686"/>
      <c r="L67" s="2686"/>
      <c r="N67" s="2687"/>
      <c r="O67" s="2686"/>
      <c r="P67" s="2686"/>
      <c r="Q67" s="2686"/>
      <c r="S67" s="2687"/>
      <c r="T67" s="2686"/>
      <c r="U67" s="2686"/>
      <c r="V67" s="2686"/>
      <c r="X67" s="2678"/>
      <c r="Y67" s="2678"/>
      <c r="Z67" s="2678"/>
    </row>
    <row r="68" spans="1:26">
      <c r="A68" s="2620" t="s">
        <v>2623</v>
      </c>
      <c r="B68" s="2688">
        <f t="shared" ref="B68:C70" si="112">B69+(B$67-B$71)/4</f>
        <v>109.75</v>
      </c>
      <c r="C68" s="2688">
        <f t="shared" si="112"/>
        <v>112.25</v>
      </c>
      <c r="D68" s="2688">
        <f t="shared" si="76"/>
        <v>112.25</v>
      </c>
      <c r="E68" s="2688">
        <f t="shared" ref="E68:F70" si="113">E69+(E$67-E$71)/4</f>
        <v>107.25</v>
      </c>
      <c r="F68" s="2688">
        <f t="shared" si="113"/>
        <v>103.5</v>
      </c>
      <c r="G68" s="3476">
        <v>2003</v>
      </c>
      <c r="H68" s="2644">
        <v>3</v>
      </c>
      <c r="I68" s="2686"/>
      <c r="J68" s="2686"/>
      <c r="K68" s="2686"/>
      <c r="L68" s="2686"/>
      <c r="X68" s="2678"/>
      <c r="Y68" s="2678"/>
      <c r="Z68" s="2678"/>
    </row>
    <row r="69" spans="1:26">
      <c r="A69" s="2620" t="s">
        <v>2624</v>
      </c>
      <c r="B69" s="2688">
        <f t="shared" si="112"/>
        <v>108.5</v>
      </c>
      <c r="C69" s="2688">
        <f t="shared" si="112"/>
        <v>110.5</v>
      </c>
      <c r="D69" s="2688">
        <f t="shared" si="76"/>
        <v>110.5</v>
      </c>
      <c r="E69" s="2688">
        <f t="shared" si="113"/>
        <v>106.5</v>
      </c>
      <c r="F69" s="2688">
        <f t="shared" si="113"/>
        <v>103</v>
      </c>
      <c r="G69" s="3476">
        <v>2003</v>
      </c>
      <c r="H69" s="2624">
        <v>2</v>
      </c>
      <c r="I69" s="2686"/>
      <c r="J69" s="2686"/>
      <c r="K69" s="2686"/>
      <c r="L69" s="2686"/>
      <c r="X69" s="2678"/>
      <c r="Y69" s="2678"/>
      <c r="Z69" s="2678"/>
    </row>
    <row r="70" spans="1:26" ht="13.8" thickBot="1">
      <c r="A70" s="2620" t="s">
        <v>2625</v>
      </c>
      <c r="B70" s="2688">
        <f t="shared" si="112"/>
        <v>107.25</v>
      </c>
      <c r="C70" s="2688">
        <f t="shared" si="112"/>
        <v>108.75</v>
      </c>
      <c r="D70" s="2688">
        <f t="shared" si="76"/>
        <v>108.75</v>
      </c>
      <c r="E70" s="2688">
        <f t="shared" si="113"/>
        <v>105.75</v>
      </c>
      <c r="F70" s="2688">
        <f t="shared" si="113"/>
        <v>102.5</v>
      </c>
      <c r="G70" s="3479">
        <v>2003</v>
      </c>
      <c r="H70" s="2689">
        <v>1</v>
      </c>
      <c r="I70" s="2686"/>
      <c r="J70" s="2686"/>
      <c r="K70" s="2686"/>
      <c r="L70" s="2686"/>
      <c r="S70" s="2628"/>
      <c r="T70" s="2629"/>
      <c r="U70" s="2629"/>
      <c r="X70" s="2678"/>
      <c r="Y70" s="2678"/>
      <c r="Z70" s="2678"/>
    </row>
    <row r="71" spans="1:26" ht="13.8" thickBot="1">
      <c r="A71" s="2620" t="s">
        <v>2626</v>
      </c>
      <c r="B71" s="2690">
        <v>106</v>
      </c>
      <c r="C71" s="2690">
        <v>107</v>
      </c>
      <c r="D71" s="2690">
        <f t="shared" si="76"/>
        <v>107</v>
      </c>
      <c r="E71" s="2690">
        <v>105</v>
      </c>
      <c r="F71" s="2691">
        <v>102</v>
      </c>
      <c r="G71" s="3478">
        <v>2002</v>
      </c>
      <c r="H71" s="2639">
        <v>4</v>
      </c>
      <c r="I71" s="2686"/>
      <c r="J71" s="2686"/>
      <c r="K71" s="2686"/>
      <c r="L71" s="2686"/>
      <c r="N71" s="2687"/>
      <c r="O71" s="2686"/>
      <c r="P71" s="2686"/>
      <c r="Q71" s="2686"/>
      <c r="S71" s="2687"/>
      <c r="T71" s="2686"/>
      <c r="U71" s="2686"/>
      <c r="V71" s="2686"/>
      <c r="X71" s="2678"/>
      <c r="Y71" s="2678"/>
      <c r="Z71" s="2678"/>
    </row>
    <row r="72" spans="1:26">
      <c r="A72" s="2620" t="s">
        <v>2627</v>
      </c>
      <c r="B72" s="2688">
        <f t="shared" ref="B72:C74" si="114">B73+(B$71-B$75)/4</f>
        <v>105</v>
      </c>
      <c r="C72" s="2688">
        <f t="shared" si="114"/>
        <v>106</v>
      </c>
      <c r="D72" s="2688">
        <f t="shared" si="76"/>
        <v>106</v>
      </c>
      <c r="E72" s="2688">
        <f t="shared" ref="E72:F74" si="115">E73+(E$71-E$75)/4</f>
        <v>104.5</v>
      </c>
      <c r="F72" s="2688">
        <f t="shared" si="115"/>
        <v>101.5</v>
      </c>
      <c r="G72" s="3476">
        <v>2002</v>
      </c>
      <c r="H72" s="2644">
        <v>3</v>
      </c>
      <c r="I72" s="2686"/>
      <c r="J72" s="2686"/>
      <c r="K72" s="2686"/>
      <c r="L72" s="2686"/>
      <c r="X72" s="2678"/>
      <c r="Y72" s="2678"/>
      <c r="Z72" s="2678"/>
    </row>
    <row r="73" spans="1:26">
      <c r="A73" s="2620" t="s">
        <v>2628</v>
      </c>
      <c r="B73" s="2688">
        <f t="shared" si="114"/>
        <v>104</v>
      </c>
      <c r="C73" s="2688">
        <f t="shared" si="114"/>
        <v>105</v>
      </c>
      <c r="D73" s="2688">
        <f t="shared" si="76"/>
        <v>105</v>
      </c>
      <c r="E73" s="2688">
        <f t="shared" si="115"/>
        <v>104</v>
      </c>
      <c r="F73" s="2688">
        <f t="shared" si="115"/>
        <v>101</v>
      </c>
      <c r="G73" s="3476">
        <v>2002</v>
      </c>
      <c r="H73" s="2624">
        <v>2</v>
      </c>
      <c r="I73" s="2686"/>
      <c r="J73" s="2686"/>
      <c r="K73" s="2686"/>
      <c r="L73" s="2686"/>
      <c r="X73" s="2678"/>
      <c r="Y73" s="2678"/>
      <c r="Z73" s="2678"/>
    </row>
    <row r="74" spans="1:26" s="2655" customFormat="1" ht="13.8" thickBot="1">
      <c r="A74" s="2651" t="s">
        <v>2629</v>
      </c>
      <c r="B74" s="2692">
        <f t="shared" si="114"/>
        <v>103</v>
      </c>
      <c r="C74" s="2692">
        <f t="shared" si="114"/>
        <v>104</v>
      </c>
      <c r="D74" s="2692">
        <f t="shared" si="76"/>
        <v>104</v>
      </c>
      <c r="E74" s="2692">
        <f t="shared" si="115"/>
        <v>103.5</v>
      </c>
      <c r="F74" s="2692">
        <f t="shared" si="115"/>
        <v>100.5</v>
      </c>
      <c r="G74" s="3479">
        <v>2002</v>
      </c>
      <c r="H74" s="2693">
        <v>1</v>
      </c>
      <c r="I74" s="2694"/>
      <c r="J74" s="2694"/>
      <c r="K74" s="2694"/>
      <c r="L74" s="2694"/>
      <c r="N74" s="2695"/>
      <c r="S74" s="2695"/>
      <c r="X74" s="2696"/>
      <c r="Y74" s="2696"/>
      <c r="Z74" s="2696"/>
    </row>
    <row r="75" spans="1:26" ht="13.8"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2630</v>
      </c>
      <c r="G77" s="2702"/>
      <c r="N77" s="2702"/>
      <c r="S77" s="2702"/>
    </row>
    <row r="78" spans="1:26" s="2701" customFormat="1">
      <c r="A78" s="2701" t="s">
        <v>2631</v>
      </c>
      <c r="G78" s="2702"/>
      <c r="N78" s="2702"/>
      <c r="S78" s="2702"/>
    </row>
    <row r="79" spans="1:26" s="2701" customFormat="1">
      <c r="A79" s="2701" t="s">
        <v>2632</v>
      </c>
      <c r="G79" s="2702"/>
      <c r="I79" s="2703"/>
      <c r="J79" s="2703"/>
      <c r="K79" s="2703"/>
      <c r="L79" s="2703"/>
      <c r="N79" s="2704"/>
      <c r="O79" s="2703"/>
      <c r="P79" s="2703"/>
      <c r="Q79" s="2703"/>
      <c r="S79" s="2704"/>
      <c r="T79" s="2703"/>
      <c r="U79" s="2703"/>
      <c r="V79" s="2703"/>
    </row>
    <row r="80" spans="1:26" s="2701" customFormat="1">
      <c r="A80" s="2701" t="s">
        <v>2633</v>
      </c>
      <c r="G80" s="2702"/>
      <c r="N80" s="2702"/>
      <c r="S80" s="2702"/>
    </row>
    <row r="87" spans="7:22" ht="13.8" thickBot="1"/>
    <row r="88" spans="7:22">
      <c r="G88" s="2627"/>
      <c r="S88" s="2705" t="s">
        <v>2634</v>
      </c>
      <c r="T88" s="2706" t="s">
        <v>2635</v>
      </c>
      <c r="U88" s="2706" t="s">
        <v>2636</v>
      </c>
      <c r="V88" s="2706" t="s">
        <v>2637</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8"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6" t="s">
        <v>2949</v>
      </c>
      <c r="B1" s="3058"/>
      <c r="C1" s="3058"/>
      <c r="D1" s="3058"/>
      <c r="E1" s="3058"/>
      <c r="F1" s="3058"/>
    </row>
    <row r="2" spans="1:6" ht="15.6">
      <c r="A2" s="3059" t="s">
        <v>2944</v>
      </c>
      <c r="B2" s="3060" t="e">
        <f ca="1">SUMIF(B7:B14,"&lt;&gt;#ref!",B7:B14)</f>
        <v>#DIV/0!</v>
      </c>
      <c r="C2" s="3059" t="s">
        <v>2945</v>
      </c>
      <c r="D2" s="3058"/>
      <c r="E2" s="3058"/>
      <c r="F2" s="3058"/>
    </row>
    <row r="3" spans="1:6" ht="15.6">
      <c r="A3" s="3059" t="s">
        <v>2977</v>
      </c>
      <c r="B3" s="3060" t="e">
        <f ca="1">ROUND(B2*10000/E3,0)</f>
        <v>#DIV/0!</v>
      </c>
      <c r="C3" s="3059" t="s">
        <v>2078</v>
      </c>
      <c r="D3" s="3059" t="s">
        <v>2946</v>
      </c>
      <c r="E3" s="3060">
        <f ca="1">SUMIF(E7:E14,"&lt;&gt;#ref!",E7:E14)</f>
        <v>0</v>
      </c>
      <c r="F3" s="3058"/>
    </row>
    <row r="4" spans="1:6" ht="15.6">
      <c r="A4" s="3059" t="s">
        <v>2953</v>
      </c>
      <c r="B4" s="3060" t="e">
        <f ca="1">ROUND(B2*10000/E4,0)</f>
        <v>#DIV/0!</v>
      </c>
      <c r="C4" s="3059" t="s">
        <v>2078</v>
      </c>
      <c r="D4" s="3059" t="s">
        <v>2954</v>
      </c>
      <c r="E4" s="3060">
        <f ca="1">SUMIF(F7:F14,"&lt;&gt;#ref!",F7:F14)</f>
        <v>0</v>
      </c>
      <c r="F4" s="3058"/>
    </row>
    <row r="5" spans="1:6" ht="15.6">
      <c r="A5" s="3061"/>
      <c r="B5" s="1867"/>
      <c r="C5" s="1867"/>
      <c r="D5" s="1867"/>
      <c r="E5" s="1867"/>
      <c r="F5" s="3058"/>
    </row>
    <row r="6" spans="1:6" ht="31.2">
      <c r="A6" s="3062" t="s">
        <v>2950</v>
      </c>
      <c r="B6" s="3059" t="s">
        <v>2947</v>
      </c>
      <c r="C6" s="3060"/>
      <c r="D6" s="1867"/>
      <c r="E6" s="3059" t="s">
        <v>2948</v>
      </c>
      <c r="F6" s="3059" t="s">
        <v>2952</v>
      </c>
    </row>
    <row r="7" spans="1:6" ht="15.6">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5.6">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5.6">
      <c r="A9" s="260"/>
      <c r="B9" s="3063" t="e">
        <f t="shared" ca="1" si="0"/>
        <v>#REF!</v>
      </c>
      <c r="C9" s="3059" t="s">
        <v>2945</v>
      </c>
      <c r="D9" s="1867"/>
      <c r="E9" s="3064" t="e">
        <f t="shared" ca="1" si="1"/>
        <v>#REF!</v>
      </c>
      <c r="F9" s="3064" t="e">
        <f t="shared" ca="1" si="2"/>
        <v>#REF!</v>
      </c>
    </row>
    <row r="10" spans="1:6" ht="15.6">
      <c r="A10" s="260"/>
      <c r="B10" s="3063" t="e">
        <f t="shared" ca="1" si="0"/>
        <v>#REF!</v>
      </c>
      <c r="C10" s="3059" t="s">
        <v>2945</v>
      </c>
      <c r="D10" s="1867"/>
      <c r="E10" s="3064" t="e">
        <f t="shared" ca="1" si="1"/>
        <v>#REF!</v>
      </c>
      <c r="F10" s="3064" t="e">
        <f t="shared" ca="1" si="2"/>
        <v>#REF!</v>
      </c>
    </row>
    <row r="11" spans="1:6" ht="15.6">
      <c r="A11" s="260"/>
      <c r="B11" s="3063" t="e">
        <f t="shared" ca="1" si="0"/>
        <v>#REF!</v>
      </c>
      <c r="C11" s="3059" t="s">
        <v>2945</v>
      </c>
      <c r="D11" s="1867"/>
      <c r="E11" s="3064" t="e">
        <f t="shared" ca="1" si="1"/>
        <v>#REF!</v>
      </c>
      <c r="F11" s="3064" t="e">
        <f t="shared" ca="1" si="2"/>
        <v>#REF!</v>
      </c>
    </row>
    <row r="12" spans="1:6" ht="15.6">
      <c r="A12" s="260"/>
      <c r="B12" s="3063" t="e">
        <f t="shared" ca="1" si="0"/>
        <v>#REF!</v>
      </c>
      <c r="C12" s="3059" t="s">
        <v>2945</v>
      </c>
      <c r="D12" s="1867"/>
      <c r="E12" s="3064" t="e">
        <f t="shared" ca="1" si="1"/>
        <v>#REF!</v>
      </c>
      <c r="F12" s="3064" t="e">
        <f t="shared" ca="1" si="2"/>
        <v>#REF!</v>
      </c>
    </row>
    <row r="13" spans="1:6" ht="15.6">
      <c r="A13" s="260"/>
      <c r="B13" s="3063" t="e">
        <f t="shared" ca="1" si="0"/>
        <v>#REF!</v>
      </c>
      <c r="C13" s="3059" t="s">
        <v>2945</v>
      </c>
      <c r="D13" s="1867"/>
      <c r="E13" s="3064" t="e">
        <f t="shared" ca="1" si="1"/>
        <v>#REF!</v>
      </c>
      <c r="F13" s="3064" t="e">
        <f t="shared" ca="1" si="2"/>
        <v>#REF!</v>
      </c>
    </row>
    <row r="14" spans="1:6" ht="15.6">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五矿信托：</v>
      </c>
    </row>
    <row r="4" spans="1:4" ht="34.799999999999997">
      <c r="A4" s="1777" t="str">
        <f>"受贵公司委托，我公司对"&amp;项目基本情况!K2&amp;项目基本情况!B9&amp;"进行了预评估。"</f>
        <v>受贵公司委托，我公司对k5雅苑出让国有建设用地使用权抵押价格进行了预评估。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52.2">
      <c r="A7" s="1781" t="s">
        <v>2746</v>
      </c>
    </row>
    <row r="8" spans="1:4" ht="17.399999999999999">
      <c r="A8" s="1780" t="s">
        <v>1906</v>
      </c>
    </row>
    <row r="9" spans="1:4" ht="69.599999999999994">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2019年7月11日</v>
      </c>
    </row>
    <row r="12" spans="1:4" ht="17.399999999999999">
      <c r="A12" s="1783" t="s">
        <v>2025</v>
      </c>
    </row>
    <row r="13" spans="1:4" ht="17.399999999999999">
      <c r="A13" s="1777" t="s">
        <v>2941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17.399999999999999">
      <c r="A21" s="1777" t="s">
        <v>2074</v>
      </c>
    </row>
    <row r="22" spans="1:1" ht="104.4">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1824</v>
      </c>
      <c r="B8" s="3487" t="s">
        <v>2462</v>
      </c>
      <c r="C8" s="1811">
        <f ca="1">ROUND(F8*F10*F9*(1-F11)/10000,0)</f>
        <v>0</v>
      </c>
      <c r="D8" s="1808" t="s">
        <v>2533</v>
      </c>
      <c r="E8" s="61" t="s">
        <v>637</v>
      </c>
      <c r="F8" s="785">
        <f ca="1">INDIRECT("'数据-取费表'!u"&amp;$G$1)</f>
        <v>0</v>
      </c>
      <c r="G8" s="1579"/>
      <c r="H8" s="2469" t="s">
        <v>1824</v>
      </c>
      <c r="I8" s="3487" t="s">
        <v>2462</v>
      </c>
      <c r="J8" s="783">
        <f ca="1">ROUND(M8*M10*M9*(1-M11)/10000,0)</f>
        <v>0</v>
      </c>
      <c r="K8" s="341" t="s">
        <v>2533</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2458</v>
      </c>
      <c r="C12" s="799">
        <f ca="1">ROUND(IF(F12="押一",C8/12*F13,IF(F12="押二",C8/12*2*F13,IF(F12="押三",C8/12*3*F13,C13*F13))),0)</f>
        <v>0</v>
      </c>
      <c r="D12" s="2466" t="s">
        <v>2974</v>
      </c>
      <c r="E12" s="2463" t="s">
        <v>2463</v>
      </c>
      <c r="F12" s="2586"/>
      <c r="G12" s="1579"/>
      <c r="H12" s="2526" t="s">
        <v>1825</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31.8" thickBot="1">
      <c r="A54" s="2082"/>
      <c r="I54" s="3103" t="s">
        <v>2978</v>
      </c>
      <c r="J54" s="3106">
        <f ca="1">IF(M48="住宅",MAX(J52,L49-'数据-取费表'!B20),MIN(J52,L49-'数据-取费表'!B20))</f>
        <v>-2</v>
      </c>
      <c r="K54" s="3491"/>
      <c r="L54" s="3492"/>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2"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7.4"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31.8"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3" t="s">
        <v>2367</v>
      </c>
      <c r="J63" s="3124" t="s">
        <v>2368</v>
      </c>
      <c r="K63" s="3124" t="s">
        <v>2369</v>
      </c>
      <c r="L63" s="3124" t="s">
        <v>2350</v>
      </c>
      <c r="M63" s="3125" t="s">
        <v>2942</v>
      </c>
      <c r="O63" s="2366" t="s">
        <v>2388</v>
      </c>
      <c r="P63" s="2364" t="s">
        <v>2396</v>
      </c>
      <c r="Q63" s="2365">
        <f ca="1">L60</f>
        <v>0</v>
      </c>
      <c r="R63" s="2368" t="s">
        <v>2397</v>
      </c>
    </row>
    <row r="64" spans="1:18" s="2045" customFormat="1" ht="16.2"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2" thickBot="1">
      <c r="A65" s="2082"/>
      <c r="B65" s="2083"/>
      <c r="C65" s="2083"/>
      <c r="I65" s="3123" t="s">
        <v>2371</v>
      </c>
      <c r="J65" s="3124">
        <v>50</v>
      </c>
      <c r="K65" s="3124">
        <v>35</v>
      </c>
      <c r="L65" s="3124">
        <v>60</v>
      </c>
      <c r="M65" s="846">
        <v>0</v>
      </c>
      <c r="O65" s="2369" t="s">
        <v>2415</v>
      </c>
      <c r="P65" s="1579"/>
      <c r="Q65" s="1590"/>
      <c r="R65" s="1579"/>
    </row>
    <row r="66" spans="1:18" s="2045" customFormat="1" ht="16.2"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1" zoomScale="145" zoomScaleNormal="145" workbookViewId="0">
      <selection activeCell="H45" sqref="H45"/>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3000</v>
      </c>
      <c r="D1" s="3078" t="s">
        <v>952</v>
      </c>
      <c r="E1" s="2352" t="s">
        <v>2374</v>
      </c>
      <c r="F1" s="2353">
        <f ca="1">J53</f>
        <v>40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11501</v>
      </c>
      <c r="C2" s="2043"/>
      <c r="D2" s="2041"/>
      <c r="E2" s="2042"/>
      <c r="F2" s="2042"/>
      <c r="G2" s="1577"/>
      <c r="H2" s="2043"/>
      <c r="I2" s="2043"/>
      <c r="J2" s="2043"/>
      <c r="K2" s="2044"/>
      <c r="L2" s="2043"/>
      <c r="M2" s="2043"/>
    </row>
    <row r="3" spans="1:33" ht="18" customHeight="1" thickBot="1">
      <c r="A3" s="833" t="s">
        <v>1727</v>
      </c>
      <c r="B3" s="834">
        <f ca="1">IF(ISERROR(B2*10000/F43),0,ROUND(B2*10000/F43,0))</f>
        <v>23976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2457</v>
      </c>
      <c r="C5" s="55">
        <f ca="1">C6+C10+C12</f>
        <v>671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670</v>
      </c>
      <c r="D6" s="2462" t="s">
        <v>2461</v>
      </c>
      <c r="E6" s="784" t="s">
        <v>1738</v>
      </c>
      <c r="F6" s="785">
        <f ca="1">INDIRECT("'数据-取费表'!u"&amp;$G$1)</f>
        <v>4.25</v>
      </c>
      <c r="G6" s="1579"/>
      <c r="H6" s="2469" t="s">
        <v>2467</v>
      </c>
      <c r="I6" s="3487" t="s">
        <v>2462</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4796.9399999999996</v>
      </c>
      <c r="G7" s="1579"/>
      <c r="H7" s="2454"/>
      <c r="I7" s="3488"/>
      <c r="J7" s="788"/>
      <c r="K7" s="789"/>
      <c r="L7" s="784" t="s">
        <v>1739</v>
      </c>
      <c r="M7" s="785">
        <f ca="1">F7</f>
        <v>4796.9399999999996</v>
      </c>
    </row>
    <row r="8" spans="1:33" ht="18" customHeight="1">
      <c r="A8" s="2458"/>
      <c r="B8" s="3489"/>
      <c r="C8" s="788"/>
      <c r="D8" s="789"/>
      <c r="E8" s="784" t="s">
        <v>1740</v>
      </c>
      <c r="F8" s="785">
        <f ca="1">INDIRECT("'数据-取费表'!ai"&amp;$G$1)</f>
        <v>365</v>
      </c>
      <c r="G8" s="1579"/>
      <c r="H8" s="2454"/>
      <c r="I8" s="3489"/>
      <c r="J8" s="788"/>
      <c r="K8" s="789"/>
      <c r="L8" s="784" t="s">
        <v>1740</v>
      </c>
      <c r="M8" s="785">
        <f ca="1">INDIRECT("'数据-取费表'!ai"&amp;$G$1)</f>
        <v>365</v>
      </c>
    </row>
    <row r="9" spans="1:33" ht="18" customHeight="1">
      <c r="A9" s="786"/>
      <c r="B9" s="3490"/>
      <c r="C9" s="788"/>
      <c r="D9" s="789"/>
      <c r="E9" s="784" t="s">
        <v>1741</v>
      </c>
      <c r="F9" s="794">
        <f ca="1">INDIRECT("'数据-取费表'!w"&amp;$G$1)</f>
        <v>0.1</v>
      </c>
      <c r="G9" s="1579"/>
      <c r="H9" s="2470"/>
      <c r="I9" s="3489"/>
      <c r="J9" s="788"/>
      <c r="K9" s="789"/>
      <c r="L9" s="795" t="s">
        <v>1741</v>
      </c>
      <c r="M9" s="796">
        <f ca="1">INDIRECT("'数据-取费表'!ab"&amp;$G$1)</f>
        <v>0</v>
      </c>
    </row>
    <row r="10" spans="1:33" ht="18" customHeight="1">
      <c r="A10" s="1816" t="s">
        <v>2465</v>
      </c>
      <c r="B10" s="2459" t="s">
        <v>2458</v>
      </c>
      <c r="C10" s="799">
        <f ca="1">ROUND(IF(F10="押一",C6/12*F11,IF(F10="押二",C6/12*2*F11,IF(F10="押三",C6/12*3*F11,C11*F11))),0)</f>
        <v>1</v>
      </c>
      <c r="D10" s="2466" t="s">
        <v>2974</v>
      </c>
      <c r="E10" s="2463" t="s">
        <v>2463</v>
      </c>
      <c r="F10" s="2586" t="s">
        <v>3131</v>
      </c>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1742</v>
      </c>
      <c r="C13" s="792">
        <f ca="1">ROUND(C29*F13,0)</f>
        <v>1685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1028</v>
      </c>
      <c r="D14" s="1965" t="s">
        <v>1745</v>
      </c>
      <c r="E14" s="1966"/>
      <c r="F14" s="805"/>
      <c r="G14" s="1579"/>
      <c r="H14" s="1635" t="s">
        <v>1830</v>
      </c>
      <c r="I14" s="2217" t="s">
        <v>2825</v>
      </c>
      <c r="J14" s="53">
        <f ca="1">C29</f>
        <v>1685</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1172</v>
      </c>
      <c r="D19" s="261" t="s">
        <v>1757</v>
      </c>
      <c r="E19" s="1968"/>
      <c r="F19" s="56"/>
      <c r="G19" s="1579"/>
      <c r="H19" s="1634" t="s">
        <v>1885</v>
      </c>
      <c r="I19" s="784" t="s">
        <v>1758</v>
      </c>
      <c r="J19" s="53">
        <f ca="1">IF(K19="按租金收入计税",ROUND(J5*M19,1),ROUND(C29*F33*0.7,1))</f>
        <v>141.5</v>
      </c>
      <c r="K19" s="811" t="s">
        <v>665</v>
      </c>
      <c r="L19" s="784" t="s">
        <v>1747</v>
      </c>
      <c r="M19" s="809">
        <f>IF(K19="按租金收入计税",'数据-取费表'!B51,'数据-取费表'!B50)</f>
        <v>1.2E-2</v>
      </c>
    </row>
    <row r="20" spans="1:33" s="2050" customFormat="1" ht="18" customHeight="1">
      <c r="A20" s="1635" t="s">
        <v>1889</v>
      </c>
      <c r="B20" s="784" t="s">
        <v>666</v>
      </c>
      <c r="C20" s="53">
        <f ca="1">ROUND(C19*F20,0)</f>
        <v>23</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984.55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2534</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-176</v>
      </c>
      <c r="K25" s="2513" t="s">
        <v>1777</v>
      </c>
      <c r="L25" s="2514"/>
      <c r="M25" s="2515"/>
    </row>
    <row r="26" spans="1:33" ht="18" customHeight="1">
      <c r="A26" s="1634" t="s">
        <v>1831</v>
      </c>
      <c r="B26" s="784" t="s">
        <v>2438</v>
      </c>
      <c r="C26" s="53">
        <f ca="1">ROUND((C19+C20)*F26,0)</f>
        <v>299</v>
      </c>
      <c r="D26" s="812" t="s">
        <v>1778</v>
      </c>
      <c r="E26" s="795" t="s">
        <v>1779</v>
      </c>
      <c r="F26" s="794">
        <f ca="1">INDIRECT("'数据-取费表'!q"&amp;$G$1)</f>
        <v>0.25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1685</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984.55</v>
      </c>
      <c r="G35" s="2048"/>
      <c r="H35" s="2051"/>
      <c r="I35" s="837" t="s">
        <v>1814</v>
      </c>
      <c r="J35" s="838">
        <f ca="1">ROUND(C13*J36,0)</f>
        <v>135</v>
      </c>
      <c r="K35" s="2064"/>
      <c r="L35" s="2063"/>
      <c r="M35" s="2063"/>
    </row>
    <row r="36" spans="1:18" ht="18" customHeight="1">
      <c r="A36" s="1635" t="s">
        <v>1889</v>
      </c>
      <c r="B36" s="784" t="s">
        <v>1802</v>
      </c>
      <c r="C36" s="53">
        <f ca="1">ROUND(C29*F36,1)</f>
        <v>33.700000000000003</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11501</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40</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0.14699999999999999</v>
      </c>
      <c r="K42" s="2068"/>
      <c r="L42" s="1974"/>
      <c r="M42" s="1974"/>
    </row>
    <row r="43" spans="1:18" ht="18" customHeight="1" thickBot="1">
      <c r="A43" s="823" t="s">
        <v>1787</v>
      </c>
      <c r="B43" s="824" t="s">
        <v>1810</v>
      </c>
      <c r="C43" s="825">
        <f ca="1">ROUND(C40*10000/F43,0)</f>
        <v>23976</v>
      </c>
      <c r="D43" s="826" t="s">
        <v>1811</v>
      </c>
      <c r="E43" s="827" t="s">
        <v>1812</v>
      </c>
      <c r="F43" s="828">
        <f ca="1">INDIRECT("'数据-取费表'!k"&amp;$G$1)</f>
        <v>4796.9399999999996</v>
      </c>
      <c r="G43" s="2048"/>
      <c r="H43" s="1974"/>
      <c r="I43" s="847" t="s">
        <v>1822</v>
      </c>
      <c r="J43" s="848">
        <f ca="1">1-J42</f>
        <v>0.85299999999999998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-12111</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2536</v>
      </c>
      <c r="B48" s="2608" t="s">
        <v>2537</v>
      </c>
      <c r="C48" s="2339">
        <f ca="1">ROUND(F48*F50*F49*(1-F51)/10000,0)</f>
        <v>0</v>
      </c>
      <c r="D48" s="2340" t="s">
        <v>636</v>
      </c>
      <c r="E48" s="2341" t="s">
        <v>2296</v>
      </c>
      <c r="F48" s="2342"/>
      <c r="G48" s="2076"/>
      <c r="I48" s="3079" t="s">
        <v>2345</v>
      </c>
      <c r="J48" s="2347" t="s">
        <v>2350</v>
      </c>
      <c r="K48" s="3108" t="s">
        <v>2351</v>
      </c>
      <c r="L48" s="1894">
        <f ca="1">INDIRECT("'数据-取费表'!f"&amp;$G$1)</f>
        <v>40</v>
      </c>
      <c r="O48" s="2363" t="s">
        <v>2379</v>
      </c>
      <c r="P48" s="2364" t="s">
        <v>2405</v>
      </c>
      <c r="Q48" s="2365">
        <f ca="1">C40+J29</f>
        <v>11501</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1685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6335</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40</v>
      </c>
      <c r="K53" s="3493" t="s">
        <v>2966</v>
      </c>
      <c r="L53" s="3494"/>
      <c r="O53" s="2366" t="s">
        <v>2388</v>
      </c>
      <c r="P53" s="2364" t="s">
        <v>2389</v>
      </c>
      <c r="Q53" s="2365">
        <f ca="1">J53</f>
        <v>40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11501</v>
      </c>
      <c r="R54" s="2368" t="s">
        <v>2392</v>
      </c>
    </row>
    <row r="55" spans="1:18" s="2045" customFormat="1" ht="18" customHeight="1" thickTop="1" thickBot="1">
      <c r="A55" s="797">
        <v>2</v>
      </c>
      <c r="B55" s="798" t="s">
        <v>644</v>
      </c>
      <c r="C55" s="799">
        <f ca="1">C13</f>
        <v>1685</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1685</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11501</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984.55</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33.700000000000003</v>
      </c>
      <c r="D63" s="2604" t="s">
        <v>1803</v>
      </c>
      <c r="E63" s="784" t="s">
        <v>1747</v>
      </c>
      <c r="F63" s="817">
        <f t="shared" ca="1" si="0"/>
        <v>0.02</v>
      </c>
      <c r="I63" s="3123" t="s">
        <v>2370</v>
      </c>
      <c r="J63" s="3124">
        <v>70</v>
      </c>
      <c r="K63" s="3124">
        <v>50</v>
      </c>
      <c r="L63" s="3124">
        <v>80</v>
      </c>
      <c r="M63" s="3126">
        <v>0.02</v>
      </c>
      <c r="O63" s="2363" t="s">
        <v>2391</v>
      </c>
      <c r="P63" s="2364" t="s">
        <v>2408</v>
      </c>
      <c r="Q63" s="2365">
        <f ca="1">Q57+Q58</f>
        <v>11501</v>
      </c>
      <c r="R63" s="2368" t="s">
        <v>2392</v>
      </c>
    </row>
    <row r="64" spans="1:18" s="2045" customFormat="1" ht="16.2"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-38</v>
      </c>
      <c r="D66" s="2603" t="s">
        <v>700</v>
      </c>
      <c r="E66" s="2602"/>
      <c r="F66" s="820"/>
      <c r="K66" s="2072"/>
      <c r="O66" s="2363" t="s">
        <v>2379</v>
      </c>
      <c r="P66" s="2364" t="s">
        <v>2409</v>
      </c>
      <c r="Q66" s="2365">
        <f ca="1">C40+J29</f>
        <v>11501</v>
      </c>
      <c r="R66" s="2364" t="s">
        <v>2380</v>
      </c>
    </row>
    <row r="67" spans="1:18" s="2045" customFormat="1" ht="19.2" thickBot="1">
      <c r="A67" s="781" t="s">
        <v>1780</v>
      </c>
      <c r="B67" s="2218" t="s">
        <v>2301</v>
      </c>
      <c r="C67" s="783">
        <f ca="1">ROUND(C66*(1-((1+F69)/(1+F67))^F68)/(F67-F69),0)</f>
        <v>-610</v>
      </c>
      <c r="D67" s="814" t="s">
        <v>704</v>
      </c>
      <c r="E67" s="784" t="s">
        <v>705</v>
      </c>
      <c r="F67" s="794">
        <f ca="1">F40</f>
        <v>5.5E-2</v>
      </c>
      <c r="K67" s="2072"/>
      <c r="O67" s="2363" t="s">
        <v>2381</v>
      </c>
      <c r="P67" s="2364" t="s">
        <v>2412</v>
      </c>
      <c r="Q67" s="2365">
        <f ca="1">L60</f>
        <v>0</v>
      </c>
      <c r="R67" s="2368" t="s">
        <v>2414</v>
      </c>
    </row>
    <row r="68" spans="1:18" ht="20.399999999999999" thickBot="1">
      <c r="A68" s="786"/>
      <c r="B68" s="787"/>
      <c r="C68" s="788"/>
      <c r="D68" s="821" t="s">
        <v>1808</v>
      </c>
      <c r="E68" s="784" t="s">
        <v>1784</v>
      </c>
      <c r="F68" s="822">
        <f ca="1">F41</f>
        <v>40</v>
      </c>
      <c r="O68" s="2366" t="s">
        <v>2383</v>
      </c>
      <c r="P68" s="2364" t="s">
        <v>2413</v>
      </c>
      <c r="Q68" s="2370">
        <f ca="1">L51</f>
        <v>6335</v>
      </c>
      <c r="R68" s="2371" t="s">
        <v>2416</v>
      </c>
    </row>
    <row r="69" spans="1:18" ht="19.2" thickBot="1">
      <c r="A69" s="790"/>
      <c r="B69" s="791"/>
      <c r="C69" s="792"/>
      <c r="D69" s="816"/>
      <c r="E69" s="784" t="s">
        <v>710</v>
      </c>
      <c r="F69" s="2336"/>
      <c r="O69" s="2366" t="s">
        <v>2384</v>
      </c>
      <c r="P69" s="2372" t="s">
        <v>2398</v>
      </c>
      <c r="Q69" s="2365">
        <f ca="1">ROUND(Q70-Q71*Q72,0)</f>
        <v>369</v>
      </c>
      <c r="R69" s="2368"/>
    </row>
    <row r="70" spans="1:18" ht="16.2" thickBot="1">
      <c r="A70" s="823" t="s">
        <v>1787</v>
      </c>
      <c r="B70" s="824" t="s">
        <v>1810</v>
      </c>
      <c r="C70" s="825">
        <f ca="1">ROUND(C67*10000/F70,0)</f>
        <v>-1272</v>
      </c>
      <c r="D70" s="826" t="s">
        <v>1811</v>
      </c>
      <c r="E70" s="827" t="s">
        <v>1812</v>
      </c>
      <c r="F70" s="828">
        <f ca="1">F43</f>
        <v>4796.9399999999996</v>
      </c>
      <c r="O70" s="2366" t="s">
        <v>2399</v>
      </c>
      <c r="P70" s="2372" t="s">
        <v>2400</v>
      </c>
      <c r="Q70" s="2365">
        <f ca="1">C39</f>
        <v>504</v>
      </c>
      <c r="R70" s="2364" t="s">
        <v>2380</v>
      </c>
    </row>
    <row r="71" spans="1:18" ht="16.2" thickBot="1">
      <c r="O71" s="2366" t="s">
        <v>2401</v>
      </c>
      <c r="P71" s="2372" t="s">
        <v>2402</v>
      </c>
      <c r="Q71" s="2365">
        <f ca="1">C13</f>
        <v>1685</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11501</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5" t="s">
        <v>2470</v>
      </c>
      <c r="B1" s="3496"/>
      <c r="C1" s="3497"/>
      <c r="D1" s="3498">
        <f>SUM(I10,I15,I20,I21,I23)</f>
        <v>0</v>
      </c>
      <c r="E1" s="3498"/>
      <c r="F1" s="3498"/>
      <c r="G1" s="3498"/>
      <c r="H1" s="3498"/>
      <c r="I1" s="3499"/>
    </row>
    <row r="2" spans="1:9">
      <c r="A2" s="3500" t="s">
        <v>2471</v>
      </c>
      <c r="B2" s="3501" t="s">
        <v>2472</v>
      </c>
      <c r="C2" s="3501"/>
      <c r="D2" s="2472" t="s">
        <v>2473</v>
      </c>
      <c r="E2" s="2472" t="s">
        <v>2474</v>
      </c>
      <c r="F2" s="2472" t="s">
        <v>2475</v>
      </c>
      <c r="G2" s="2472" t="s">
        <v>2476</v>
      </c>
      <c r="H2" s="2472" t="s">
        <v>2477</v>
      </c>
      <c r="I2" s="2473" t="s">
        <v>2478</v>
      </c>
    </row>
    <row r="3" spans="1:9">
      <c r="A3" s="3500"/>
      <c r="B3" s="3501" t="s">
        <v>2479</v>
      </c>
      <c r="C3" s="3501"/>
      <c r="D3" s="2474"/>
      <c r="E3" s="2472"/>
      <c r="F3" s="2475"/>
      <c r="G3" s="2475"/>
      <c r="H3" s="2476"/>
      <c r="I3" s="2477">
        <f>ROUND(D3*E3*F3*G3*H3/10000,0)</f>
        <v>0</v>
      </c>
    </row>
    <row r="4" spans="1:9">
      <c r="A4" s="3500"/>
      <c r="B4" s="3501" t="s">
        <v>2480</v>
      </c>
      <c r="C4" s="3501"/>
      <c r="D4" s="2474"/>
      <c r="E4" s="2472"/>
      <c r="F4" s="2475"/>
      <c r="G4" s="2475"/>
      <c r="H4" s="2476"/>
      <c r="I4" s="2477">
        <f t="shared" ref="I4:I9" si="0">ROUND(D4*E4*F4*G4*H4/10000,0)</f>
        <v>0</v>
      </c>
    </row>
    <row r="5" spans="1:9">
      <c r="A5" s="3500"/>
      <c r="B5" s="3501" t="s">
        <v>2481</v>
      </c>
      <c r="C5" s="3501"/>
      <c r="D5" s="2474"/>
      <c r="E5" s="2472"/>
      <c r="F5" s="2475"/>
      <c r="G5" s="2475"/>
      <c r="H5" s="2476"/>
      <c r="I5" s="2477">
        <f t="shared" si="0"/>
        <v>0</v>
      </c>
    </row>
    <row r="6" spans="1:9">
      <c r="A6" s="3500"/>
      <c r="B6" s="3501" t="s">
        <v>2482</v>
      </c>
      <c r="C6" s="3501"/>
      <c r="D6" s="2474"/>
      <c r="E6" s="2472"/>
      <c r="F6" s="2475"/>
      <c r="G6" s="2475"/>
      <c r="H6" s="2476"/>
      <c r="I6" s="2477">
        <f t="shared" si="0"/>
        <v>0</v>
      </c>
    </row>
    <row r="7" spans="1:9">
      <c r="A7" s="3500"/>
      <c r="B7" s="3501" t="s">
        <v>2483</v>
      </c>
      <c r="C7" s="3501"/>
      <c r="D7" s="2474"/>
      <c r="E7" s="2472"/>
      <c r="F7" s="2475"/>
      <c r="G7" s="2475"/>
      <c r="H7" s="2476"/>
      <c r="I7" s="2477">
        <f t="shared" si="0"/>
        <v>0</v>
      </c>
    </row>
    <row r="8" spans="1:9">
      <c r="A8" s="3500"/>
      <c r="B8" s="3501" t="s">
        <v>2484</v>
      </c>
      <c r="C8" s="3501"/>
      <c r="D8" s="2474"/>
      <c r="E8" s="2472"/>
      <c r="F8" s="2475"/>
      <c r="G8" s="2475"/>
      <c r="H8" s="2476"/>
      <c r="I8" s="2477">
        <f t="shared" si="0"/>
        <v>0</v>
      </c>
    </row>
    <row r="9" spans="1:9">
      <c r="A9" s="3500"/>
      <c r="B9" s="3501" t="s">
        <v>2485</v>
      </c>
      <c r="C9" s="3501"/>
      <c r="D9" s="2474"/>
      <c r="E9" s="2472"/>
      <c r="F9" s="2475"/>
      <c r="G9" s="2475"/>
      <c r="H9" s="2476"/>
      <c r="I9" s="2477">
        <f t="shared" si="0"/>
        <v>0</v>
      </c>
    </row>
    <row r="10" spans="1:9">
      <c r="A10" s="3500"/>
      <c r="B10" s="3502" t="s">
        <v>2486</v>
      </c>
      <c r="C10" s="3502"/>
      <c r="D10" s="2478">
        <v>527</v>
      </c>
      <c r="E10" s="2478" t="e">
        <f>ROUND(D1*10000/D10/H9,0)</f>
        <v>#DIV/0!</v>
      </c>
      <c r="F10" s="2479"/>
      <c r="G10" s="2479"/>
      <c r="H10" s="2480"/>
      <c r="I10" s="2481">
        <f>SUM(I3:I9)</f>
        <v>0</v>
      </c>
    </row>
    <row r="11" spans="1:9" ht="15.6">
      <c r="A11" s="3500" t="s">
        <v>2487</v>
      </c>
      <c r="B11" s="3501" t="s">
        <v>2488</v>
      </c>
      <c r="C11" s="3501"/>
      <c r="D11" s="2474" t="s">
        <v>2489</v>
      </c>
      <c r="E11" s="2474" t="s">
        <v>2490</v>
      </c>
      <c r="F11" s="2475" t="s">
        <v>2491</v>
      </c>
      <c r="G11" s="2475" t="s">
        <v>2492</v>
      </c>
      <c r="H11" s="2482" t="s">
        <v>2493</v>
      </c>
      <c r="I11" s="2473" t="s">
        <v>2494</v>
      </c>
    </row>
    <row r="12" spans="1:9">
      <c r="A12" s="3500"/>
      <c r="B12" s="3501" t="s">
        <v>2495</v>
      </c>
      <c r="C12" s="3501"/>
      <c r="D12" s="2474"/>
      <c r="E12" s="2474"/>
      <c r="F12" s="2475"/>
      <c r="G12" s="2476"/>
      <c r="H12" s="2483"/>
      <c r="I12" s="2473">
        <f>ROUND(D12*E12*F12*G12/10000,0)</f>
        <v>0</v>
      </c>
    </row>
    <row r="13" spans="1:9">
      <c r="A13" s="3500"/>
      <c r="B13" s="3501" t="s">
        <v>2496</v>
      </c>
      <c r="C13" s="3501"/>
      <c r="D13" s="2474"/>
      <c r="E13" s="2474"/>
      <c r="F13" s="2475"/>
      <c r="G13" s="2476"/>
      <c r="H13" s="2483"/>
      <c r="I13" s="2473">
        <f>ROUND(D13*E13*F13*G13/10000,0)</f>
        <v>0</v>
      </c>
    </row>
    <row r="14" spans="1:9">
      <c r="A14" s="3500"/>
      <c r="B14" s="3501" t="s">
        <v>2497</v>
      </c>
      <c r="C14" s="3501"/>
      <c r="D14" s="2474"/>
      <c r="E14" s="2474"/>
      <c r="F14" s="2475"/>
      <c r="G14" s="2476"/>
      <c r="H14" s="2483"/>
      <c r="I14" s="2473">
        <f>ROUND(D14*E14*F14*G14/10000,0)</f>
        <v>0</v>
      </c>
    </row>
    <row r="15" spans="1:9">
      <c r="A15" s="3500"/>
      <c r="B15" s="3502" t="s">
        <v>2486</v>
      </c>
      <c r="C15" s="3502"/>
      <c r="D15" s="2478"/>
      <c r="E15" s="2478">
        <f>SUM(E12:E14)</f>
        <v>0</v>
      </c>
      <c r="F15" s="2479"/>
      <c r="G15" s="2476"/>
      <c r="H15" s="2483"/>
      <c r="I15" s="2484">
        <f>SUM(I12:I14)</f>
        <v>0</v>
      </c>
    </row>
    <row r="16" spans="1:9" ht="24">
      <c r="A16" s="3500" t="s">
        <v>2498</v>
      </c>
      <c r="B16" s="3501" t="s">
        <v>2499</v>
      </c>
      <c r="C16" s="3501"/>
      <c r="D16" s="2474" t="s">
        <v>2500</v>
      </c>
      <c r="E16" s="2485" t="s">
        <v>2501</v>
      </c>
      <c r="F16" s="2475" t="s">
        <v>2502</v>
      </c>
      <c r="G16" s="2476" t="s">
        <v>2492</v>
      </c>
      <c r="H16" s="2482" t="s">
        <v>2493</v>
      </c>
      <c r="I16" s="2473" t="s">
        <v>2494</v>
      </c>
    </row>
    <row r="17" spans="1:9" ht="15.6">
      <c r="A17" s="3500"/>
      <c r="B17" s="3501" t="s">
        <v>2503</v>
      </c>
      <c r="C17" s="3501"/>
      <c r="D17" s="2474"/>
      <c r="E17" s="2474"/>
      <c r="F17" s="2475"/>
      <c r="G17" s="2476"/>
      <c r="H17" s="2486"/>
      <c r="I17" s="2487">
        <f>ROUND(D17*E17*F17*G17/10000,0)</f>
        <v>0</v>
      </c>
    </row>
    <row r="18" spans="1:9" ht="15.6">
      <c r="A18" s="3500"/>
      <c r="B18" s="3501" t="s">
        <v>2504</v>
      </c>
      <c r="C18" s="3501"/>
      <c r="D18" s="2474"/>
      <c r="E18" s="2474"/>
      <c r="F18" s="2475"/>
      <c r="G18" s="2476"/>
      <c r="H18" s="2486"/>
      <c r="I18" s="2487">
        <f>ROUND(D18*E18*F18*G18/10000,0)</f>
        <v>0</v>
      </c>
    </row>
    <row r="19" spans="1:9" ht="15.6">
      <c r="A19" s="3500"/>
      <c r="B19" s="3501" t="s">
        <v>2505</v>
      </c>
      <c r="C19" s="3501"/>
      <c r="D19" s="2474"/>
      <c r="E19" s="2474"/>
      <c r="F19" s="2475"/>
      <c r="G19" s="2476"/>
      <c r="H19" s="2486"/>
      <c r="I19" s="2487">
        <f>ROUND(D19*E19*F19*G19/10000,0)</f>
        <v>0</v>
      </c>
    </row>
    <row r="20" spans="1:9">
      <c r="A20" s="3500"/>
      <c r="B20" s="3502" t="s">
        <v>2486</v>
      </c>
      <c r="C20" s="3502"/>
      <c r="D20" s="2478">
        <f>SUM(D17:D19)</f>
        <v>0</v>
      </c>
      <c r="E20" s="2478"/>
      <c r="F20" s="2479"/>
      <c r="G20" s="2476"/>
      <c r="H20" s="2483"/>
      <c r="I20" s="2484">
        <f>SUM(I17:I19)</f>
        <v>0</v>
      </c>
    </row>
    <row r="21" spans="1:9">
      <c r="A21" s="3500" t="s">
        <v>2506</v>
      </c>
      <c r="B21" s="3504"/>
      <c r="C21" s="3504"/>
      <c r="D21" s="3504"/>
      <c r="E21" s="3504"/>
      <c r="F21" s="3504"/>
      <c r="G21" s="3504"/>
      <c r="H21" s="2488">
        <v>0.1</v>
      </c>
      <c r="I21" s="2481">
        <f>ROUND(I10*H21,0)</f>
        <v>0</v>
      </c>
    </row>
    <row r="22" spans="1:9" ht="15.6">
      <c r="A22" s="3505" t="s">
        <v>2507</v>
      </c>
      <c r="B22" s="3506"/>
      <c r="C22" s="3507"/>
      <c r="D22" s="2489" t="s">
        <v>2508</v>
      </c>
      <c r="E22" s="2489" t="s">
        <v>2509</v>
      </c>
      <c r="F22" s="2490" t="s">
        <v>2510</v>
      </c>
      <c r="G22" s="2490" t="s">
        <v>2511</v>
      </c>
      <c r="H22" s="2482" t="s">
        <v>2512</v>
      </c>
      <c r="I22" s="2473" t="s">
        <v>2513</v>
      </c>
    </row>
    <row r="23" spans="1:9" ht="15" thickBot="1">
      <c r="A23" s="3508"/>
      <c r="B23" s="3509"/>
      <c r="C23" s="3510"/>
      <c r="D23" s="2491"/>
      <c r="E23" s="2491"/>
      <c r="F23" s="2491"/>
      <c r="G23" s="2492"/>
      <c r="H23" s="2493"/>
      <c r="I23" s="2494">
        <f>ROUND(E23*D23*F23*(1-G23)/10000,0)</f>
        <v>0</v>
      </c>
    </row>
    <row r="26" spans="1:9">
      <c r="A26" s="2495" t="s">
        <v>2514</v>
      </c>
      <c r="B26" s="2495"/>
      <c r="C26" s="2495"/>
      <c r="D26" s="2495"/>
      <c r="E26" s="3511">
        <f>C27-C30-C31-C32</f>
        <v>0</v>
      </c>
      <c r="F26" s="3511"/>
      <c r="G26" s="3511"/>
      <c r="H26" s="2996" t="s">
        <v>2842</v>
      </c>
    </row>
    <row r="27" spans="1:9">
      <c r="A27" s="2496">
        <v>1</v>
      </c>
      <c r="B27" s="2497" t="s">
        <v>2515</v>
      </c>
      <c r="C27" s="2497"/>
      <c r="D27" s="2497"/>
      <c r="E27" s="3512"/>
      <c r="F27" s="3512"/>
      <c r="G27" s="3512"/>
    </row>
    <row r="28" spans="1:9">
      <c r="A28" s="2498" t="s">
        <v>2516</v>
      </c>
      <c r="B28" s="2497" t="s">
        <v>2517</v>
      </c>
      <c r="C28" s="2497"/>
      <c r="D28" s="2497"/>
      <c r="E28" s="3512"/>
      <c r="F28" s="3512"/>
      <c r="G28" s="3512"/>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503"/>
      <c r="F32" s="3503"/>
      <c r="G32" s="3503"/>
    </row>
    <row r="33" spans="1:7" hidden="1">
      <c r="A33" s="3513" t="s">
        <v>2525</v>
      </c>
      <c r="B33" s="3514"/>
      <c r="C33" s="3514"/>
      <c r="D33" s="3515"/>
      <c r="E33" s="3511"/>
      <c r="F33" s="3511"/>
      <c r="G33" s="3511"/>
    </row>
    <row r="34" spans="1:7" hidden="1">
      <c r="A34" s="2500">
        <v>1</v>
      </c>
      <c r="B34" s="2497" t="s">
        <v>2526</v>
      </c>
      <c r="C34" s="2497"/>
      <c r="D34" s="2497"/>
      <c r="E34" s="3512"/>
      <c r="F34" s="3512"/>
      <c r="G34" s="3512"/>
    </row>
    <row r="35" spans="1:7" hidden="1">
      <c r="A35" s="2500">
        <v>2</v>
      </c>
      <c r="B35" s="2497" t="s">
        <v>2527</v>
      </c>
      <c r="C35" s="2497"/>
      <c r="D35" s="2497"/>
      <c r="E35" s="3512"/>
      <c r="F35" s="3512"/>
      <c r="G35" s="3512"/>
    </row>
    <row r="36" spans="1:7" hidden="1">
      <c r="A36" s="2500">
        <v>3</v>
      </c>
      <c r="B36" s="2497" t="s">
        <v>2528</v>
      </c>
      <c r="C36" s="2497"/>
      <c r="D36" s="2497"/>
      <c r="E36" s="3512"/>
      <c r="F36" s="3512"/>
      <c r="G36" s="3512"/>
    </row>
    <row r="37" spans="1:7" hidden="1">
      <c r="A37" s="2500">
        <v>4</v>
      </c>
      <c r="B37" s="2497" t="s">
        <v>2529</v>
      </c>
      <c r="C37" s="2497"/>
      <c r="D37" s="2497"/>
      <c r="E37" s="3512"/>
      <c r="F37" s="3512"/>
      <c r="G37" s="3512"/>
    </row>
    <row r="38" spans="1:7" hidden="1">
      <c r="A38" s="3513" t="s">
        <v>2530</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245201.18990375422</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2173</v>
      </c>
      <c r="D12" s="758">
        <f>'数据-汇总表'!E5</f>
        <v>181084.41</v>
      </c>
      <c r="E12" s="757">
        <f>'数据-取费表'!B27</f>
        <v>120</v>
      </c>
      <c r="F12" s="755"/>
      <c r="G12" s="759"/>
    </row>
    <row r="13" spans="1:25" s="2169" customFormat="1" ht="13.5" customHeight="1">
      <c r="A13" s="2441" t="s">
        <v>2447</v>
      </c>
      <c r="B13" s="756" t="s">
        <v>612</v>
      </c>
      <c r="C13" s="757">
        <f>ROUND(D13*E13/10000,0)</f>
        <v>769</v>
      </c>
      <c r="D13" s="758">
        <f>'数据-汇总表'!E6</f>
        <v>64116.779903754214</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0.91800000000000004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t="s">
        <v>923</v>
      </c>
      <c r="E1" s="2591"/>
      <c r="F1" s="2763" t="s">
        <v>3166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301216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181084.41</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406" t="s">
        <v>522</v>
      </c>
      <c r="D4" s="3407"/>
      <c r="E4" s="3440" t="s">
        <v>523</v>
      </c>
      <c r="F4" s="3441"/>
      <c r="G4" s="3406" t="s">
        <v>524</v>
      </c>
      <c r="H4" s="3407"/>
      <c r="I4" s="3406" t="s">
        <v>525</v>
      </c>
      <c r="J4" s="3407"/>
      <c r="K4" s="853"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3" t="s">
        <v>524</v>
      </c>
      <c r="AC4" s="3403" t="s">
        <v>525</v>
      </c>
    </row>
    <row r="5" spans="1:29">
      <c r="A5" s="515"/>
      <c r="B5" s="516"/>
      <c r="C5" s="3422" t="s">
        <v>2929</v>
      </c>
      <c r="D5" s="3423"/>
      <c r="E5" s="3520" t="s">
        <v>3161</v>
      </c>
      <c r="F5" s="3443"/>
      <c r="G5" s="3519" t="s">
        <v>3162</v>
      </c>
      <c r="H5" s="3423"/>
      <c r="I5" s="3519" t="s">
        <v>3163</v>
      </c>
      <c r="J5" s="3423"/>
      <c r="K5" s="854"/>
      <c r="L5" s="2119"/>
      <c r="M5" s="2120"/>
      <c r="N5" s="2120"/>
      <c r="O5" s="2120"/>
      <c r="P5" s="3410"/>
      <c r="Q5" s="3411"/>
      <c r="R5" s="3416"/>
      <c r="S5" s="3417"/>
      <c r="T5" s="3416"/>
      <c r="U5" s="3417"/>
      <c r="V5" s="3401"/>
      <c r="W5" s="3401"/>
      <c r="X5" s="1554"/>
      <c r="Y5" s="3416"/>
      <c r="Z5" s="3417"/>
      <c r="AA5" s="3404"/>
      <c r="AB5" s="3404"/>
      <c r="AC5" s="3404"/>
    </row>
    <row r="6" spans="1:29" ht="15" thickBot="1">
      <c r="A6" s="517"/>
      <c r="B6" s="518"/>
      <c r="C6" s="3420" t="s">
        <v>2933</v>
      </c>
      <c r="D6" s="3421"/>
      <c r="E6" s="3438" t="s">
        <v>2933</v>
      </c>
      <c r="F6" s="3439"/>
      <c r="G6" s="3420" t="s">
        <v>2933</v>
      </c>
      <c r="H6" s="3421"/>
      <c r="I6" s="3420" t="s">
        <v>2933</v>
      </c>
      <c r="J6" s="3421"/>
      <c r="K6" s="854" t="s">
        <v>528</v>
      </c>
      <c r="L6" s="2119"/>
      <c r="M6" s="2120"/>
      <c r="N6" s="2120"/>
      <c r="O6" s="2120"/>
      <c r="P6" s="3412"/>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f>C7</f>
        <v>43657</v>
      </c>
      <c r="F7" s="522">
        <f>SUMIF(58:58,YEAR(E7)&amp;"-"&amp;MONTH(E7),59:59)</f>
        <v>100</v>
      </c>
      <c r="G7" s="523">
        <f>C7</f>
        <v>43657</v>
      </c>
      <c r="H7" s="520">
        <f>SUMIF(58:58,YEAR(G7)&amp;"-"&amp;MONTH(G7),59:59)</f>
        <v>100</v>
      </c>
      <c r="I7" s="523">
        <f>C7</f>
        <v>43657</v>
      </c>
      <c r="J7" s="520">
        <f>SUMIF(58:58,YEAR(I7)&amp;"-"&amp;MONTH(I7),59:59)</f>
        <v>100</v>
      </c>
      <c r="K7" s="855"/>
      <c r="L7" s="2121"/>
      <c r="M7" s="2122"/>
      <c r="N7" s="2122"/>
      <c r="O7" s="2122"/>
      <c r="P7" s="3431" t="s">
        <v>530</v>
      </c>
      <c r="Q7" s="3433"/>
      <c r="R7" s="1555" t="s">
        <v>13</v>
      </c>
      <c r="S7" s="1556">
        <f t="shared" ref="S7:S15" si="0">F7</f>
        <v>100</v>
      </c>
      <c r="T7" s="1555" t="s">
        <v>13</v>
      </c>
      <c r="U7" s="1556">
        <f t="shared" ref="U7:U15" si="1">H7</f>
        <v>100</v>
      </c>
      <c r="V7" s="1555" t="s">
        <v>13</v>
      </c>
      <c r="W7" s="1556">
        <f t="shared" ref="W7:W15" si="2">J7</f>
        <v>100</v>
      </c>
      <c r="X7" s="1557"/>
      <c r="Y7" s="3431" t="s">
        <v>530</v>
      </c>
      <c r="Z7" s="3432"/>
      <c r="AA7" s="1558">
        <f>D7/F7</f>
        <v>1</v>
      </c>
      <c r="AB7" s="1558">
        <f>D7/H7</f>
        <v>1</v>
      </c>
      <c r="AC7" s="1558">
        <f>D7/J7</f>
        <v>1</v>
      </c>
    </row>
    <row r="8" spans="1:29" s="1216" customFormat="1" ht="15" thickBot="1">
      <c r="A8" s="2869"/>
      <c r="B8" s="2876" t="s">
        <v>531</v>
      </c>
      <c r="C8" s="525" t="s">
        <v>576</v>
      </c>
      <c r="D8" s="520">
        <v>100</v>
      </c>
      <c r="E8" s="856" t="s">
        <v>3134</v>
      </c>
      <c r="F8" s="522">
        <f>SUMIF(61:61,E8,62:62)-SUMIF(61:61,C8,62:62)+100</f>
        <v>100</v>
      </c>
      <c r="G8" s="525" t="s">
        <v>3134</v>
      </c>
      <c r="H8" s="520">
        <f>SUMIF(61:61,G8,62:62)-SUMIF(61:61,C8,62:62)+100</f>
        <v>100</v>
      </c>
      <c r="I8" s="856" t="s">
        <v>3134</v>
      </c>
      <c r="J8" s="520">
        <f>SUMIF(61:61,I8,62:62)-SUMIF(61:61,C8,62:62)+100</f>
        <v>100</v>
      </c>
      <c r="K8" s="855"/>
      <c r="L8" s="2121"/>
      <c r="M8" s="2122"/>
      <c r="N8" s="2122"/>
      <c r="O8" s="2122"/>
      <c r="P8" s="3431" t="s">
        <v>533</v>
      </c>
      <c r="Q8" s="3432"/>
      <c r="R8" s="1555" t="s">
        <v>13</v>
      </c>
      <c r="S8" s="1556">
        <f t="shared" si="0"/>
        <v>100</v>
      </c>
      <c r="T8" s="1555" t="s">
        <v>13</v>
      </c>
      <c r="U8" s="1556">
        <f t="shared" si="1"/>
        <v>100</v>
      </c>
      <c r="V8" s="1555" t="s">
        <v>13</v>
      </c>
      <c r="W8" s="1556">
        <f t="shared" si="2"/>
        <v>100</v>
      </c>
      <c r="X8" s="1557"/>
      <c r="Y8" s="3431" t="s">
        <v>533</v>
      </c>
      <c r="Z8" s="3432"/>
      <c r="AA8" s="1558">
        <f t="shared" ref="AA8:AA46" si="3">D8/F8</f>
        <v>1</v>
      </c>
      <c r="AB8" s="1558">
        <f t="shared" ref="AB8:AB46" si="4">D8/H8</f>
        <v>1</v>
      </c>
      <c r="AC8" s="1558">
        <f t="shared" ref="AC8:AC46" si="5">D8/J8</f>
        <v>1</v>
      </c>
    </row>
    <row r="9" spans="1:29" s="1216" customFormat="1" ht="14.4">
      <c r="A9" s="2870"/>
      <c r="B9" s="2877" t="s">
        <v>2755</v>
      </c>
      <c r="C9" s="3197" t="s">
        <v>3164</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8.8">
      <c r="A10" s="2871"/>
      <c r="B10" s="2876" t="s">
        <v>2756</v>
      </c>
      <c r="C10" s="861" t="s">
        <v>3199</v>
      </c>
      <c r="D10" s="255">
        <v>100</v>
      </c>
      <c r="E10" s="862" t="s">
        <v>3199</v>
      </c>
      <c r="F10" s="863">
        <f>SUMIF(65:65,E10,66:66)-SUMIF(65:65,C10,66:66)+100</f>
        <v>100</v>
      </c>
      <c r="G10" s="861" t="s">
        <v>3199</v>
      </c>
      <c r="H10" s="255">
        <f>SUMIF(65:65,G10,66:66)-SUMIF(65:65,C10,66:66)+100</f>
        <v>100</v>
      </c>
      <c r="I10" s="861" t="s">
        <v>3199</v>
      </c>
      <c r="J10" s="255">
        <f>SUMIF(65:65,I10,66:66)-SUMIF(65:65,C10,66:66)+100</f>
        <v>100</v>
      </c>
      <c r="K10" s="864">
        <v>5</v>
      </c>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2757</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400"/>
      <c r="Q11" s="1147" t="str">
        <f t="shared" si="6"/>
        <v>容积率</v>
      </c>
      <c r="R11" s="1555" t="s">
        <v>11</v>
      </c>
      <c r="S11" s="1556">
        <f t="shared" si="0"/>
        <v>100</v>
      </c>
      <c r="T11" s="1555" t="s">
        <v>11</v>
      </c>
      <c r="U11" s="1556">
        <f t="shared" si="1"/>
        <v>100</v>
      </c>
      <c r="V11" s="1555" t="s">
        <v>11</v>
      </c>
      <c r="W11" s="1556">
        <f t="shared" si="2"/>
        <v>100</v>
      </c>
      <c r="X11" s="1557"/>
      <c r="Y11" s="3346"/>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0"/>
      <c r="Q12" s="1147">
        <f t="shared" si="6"/>
        <v>111</v>
      </c>
      <c r="R12" s="1555" t="s">
        <v>11</v>
      </c>
      <c r="S12" s="1556">
        <f t="shared" si="0"/>
        <v>100</v>
      </c>
      <c r="T12" s="1555" t="s">
        <v>11</v>
      </c>
      <c r="U12" s="1556">
        <f t="shared" si="1"/>
        <v>100</v>
      </c>
      <c r="V12" s="1555" t="s">
        <v>11</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0"/>
      <c r="Q13" s="1147">
        <f t="shared" si="6"/>
        <v>111</v>
      </c>
      <c r="R13" s="1555" t="s">
        <v>11</v>
      </c>
      <c r="S13" s="1556">
        <f t="shared" si="0"/>
        <v>100</v>
      </c>
      <c r="T13" s="1555" t="s">
        <v>11</v>
      </c>
      <c r="U13" s="1556">
        <f t="shared" si="1"/>
        <v>100</v>
      </c>
      <c r="V13" s="1555" t="s">
        <v>11</v>
      </c>
      <c r="W13" s="1556">
        <f t="shared" si="2"/>
        <v>100</v>
      </c>
      <c r="X13" s="1557"/>
      <c r="Y13" s="3346"/>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0"/>
      <c r="Q14" s="1147">
        <f t="shared" si="6"/>
        <v>111</v>
      </c>
      <c r="R14" s="1555" t="s">
        <v>11</v>
      </c>
      <c r="S14" s="1556">
        <f t="shared" si="0"/>
        <v>100</v>
      </c>
      <c r="T14" s="1555" t="s">
        <v>11</v>
      </c>
      <c r="U14" s="1556">
        <f t="shared" si="1"/>
        <v>100</v>
      </c>
      <c r="V14" s="1555" t="s">
        <v>11</v>
      </c>
      <c r="W14" s="1556">
        <f t="shared" si="2"/>
        <v>100</v>
      </c>
      <c r="X14" s="1557"/>
      <c r="Y14" s="3346"/>
      <c r="Z14" s="1146">
        <f t="shared" si="7"/>
        <v>111</v>
      </c>
      <c r="AA14" s="1558">
        <f t="shared" si="3"/>
        <v>1</v>
      </c>
      <c r="AB14" s="1558">
        <f t="shared" si="4"/>
        <v>1</v>
      </c>
      <c r="AC14" s="1558">
        <f t="shared" si="5"/>
        <v>1</v>
      </c>
    </row>
    <row r="15" spans="1:29" ht="96.6">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34" t="s">
        <v>540</v>
      </c>
      <c r="Q15" s="1559" t="str">
        <f t="shared" si="6"/>
        <v>居住社区成熟度</v>
      </c>
      <c r="R15" s="1560" t="s">
        <v>11</v>
      </c>
      <c r="S15" s="1561">
        <f t="shared" si="0"/>
        <v>97</v>
      </c>
      <c r="T15" s="1560" t="s">
        <v>11</v>
      </c>
      <c r="U15" s="1561">
        <f t="shared" si="1"/>
        <v>97</v>
      </c>
      <c r="V15" s="1560" t="s">
        <v>11</v>
      </c>
      <c r="W15" s="1561">
        <f t="shared" si="2"/>
        <v>97</v>
      </c>
      <c r="X15" s="1554"/>
      <c r="Y15" s="3434"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3139</v>
      </c>
      <c r="D16" s="555"/>
      <c r="E16" s="556" t="s">
        <v>3165</v>
      </c>
      <c r="F16" s="557"/>
      <c r="G16" s="558" t="s">
        <v>3165</v>
      </c>
      <c r="H16" s="559"/>
      <c r="I16" s="556" t="s">
        <v>3165</v>
      </c>
      <c r="J16" s="555"/>
      <c r="K16" s="870"/>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35"/>
      <c r="Q17" s="1559" t="str">
        <f>B17</f>
        <v>交通便捷度</v>
      </c>
      <c r="R17" s="1560" t="s">
        <v>11</v>
      </c>
      <c r="S17" s="1561">
        <f>F17</f>
        <v>97</v>
      </c>
      <c r="T17" s="1560" t="s">
        <v>11</v>
      </c>
      <c r="U17" s="1561">
        <f>H17</f>
        <v>97</v>
      </c>
      <c r="V17" s="1560" t="s">
        <v>11</v>
      </c>
      <c r="W17" s="1561">
        <f>J17</f>
        <v>97</v>
      </c>
      <c r="X17" s="1554"/>
      <c r="Y17" s="3435"/>
      <c r="Z17" s="1562" t="str">
        <f>Q17</f>
        <v>交通便捷度</v>
      </c>
      <c r="AA17" s="1563">
        <f t="shared" si="3"/>
        <v>1.0309278350515463</v>
      </c>
      <c r="AB17" s="1563">
        <f t="shared" si="4"/>
        <v>1.0309278350515463</v>
      </c>
      <c r="AC17" s="1563">
        <f t="shared" si="5"/>
        <v>1.0309278350515463</v>
      </c>
    </row>
    <row r="18" spans="1:29" ht="15">
      <c r="A18" s="532"/>
      <c r="B18" s="595"/>
      <c r="C18" s="873" t="s">
        <v>3139</v>
      </c>
      <c r="D18" s="559"/>
      <c r="E18" s="568" t="s">
        <v>3165</v>
      </c>
      <c r="F18" s="563"/>
      <c r="G18" s="569" t="s">
        <v>3165</v>
      </c>
      <c r="H18" s="555"/>
      <c r="I18" s="568" t="s">
        <v>3165</v>
      </c>
      <c r="J18" s="555"/>
      <c r="K18" s="870"/>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1.4">
      <c r="A19" s="532"/>
      <c r="B19" s="2565" t="s">
        <v>2545</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35"/>
      <c r="Q19" s="1559" t="str">
        <f>B19</f>
        <v>公共配套设施</v>
      </c>
      <c r="R19" s="1560" t="s">
        <v>11</v>
      </c>
      <c r="S19" s="1561">
        <f>F19</f>
        <v>97</v>
      </c>
      <c r="T19" s="1560" t="s">
        <v>11</v>
      </c>
      <c r="U19" s="1561">
        <f>H19</f>
        <v>97</v>
      </c>
      <c r="V19" s="1560" t="s">
        <v>11</v>
      </c>
      <c r="W19" s="1561">
        <f>J19</f>
        <v>97</v>
      </c>
      <c r="X19" s="1554"/>
      <c r="Y19" s="3435"/>
      <c r="Z19" s="1562" t="str">
        <f>Q19</f>
        <v>公共配套设施</v>
      </c>
      <c r="AA19" s="1563">
        <f t="shared" si="3"/>
        <v>1.0309278350515463</v>
      </c>
      <c r="AB19" s="1563">
        <f t="shared" si="4"/>
        <v>1.0309278350515463</v>
      </c>
      <c r="AC19" s="1563">
        <f t="shared" si="5"/>
        <v>1.0309278350515463</v>
      </c>
    </row>
    <row r="20" spans="1:29" ht="15">
      <c r="A20" s="532"/>
      <c r="B20" s="595"/>
      <c r="C20" s="576" t="s">
        <v>3139</v>
      </c>
      <c r="D20" s="555"/>
      <c r="E20" s="556" t="s">
        <v>3165</v>
      </c>
      <c r="F20" s="557"/>
      <c r="G20" s="558" t="s">
        <v>3165</v>
      </c>
      <c r="H20" s="555"/>
      <c r="I20" s="556" t="s">
        <v>3165</v>
      </c>
      <c r="J20" s="555"/>
      <c r="K20" s="870"/>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7.6">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35"/>
      <c r="Q21" s="2544" t="str">
        <f>B21</f>
        <v>基础设施水平</v>
      </c>
      <c r="R21" s="1560" t="s">
        <v>11</v>
      </c>
      <c r="S21" s="1561">
        <f>F21</f>
        <v>100</v>
      </c>
      <c r="T21" s="1560" t="s">
        <v>11</v>
      </c>
      <c r="U21" s="1561">
        <f>H21</f>
        <v>100</v>
      </c>
      <c r="V21" s="1560" t="s">
        <v>11</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t="s">
        <v>3141</v>
      </c>
      <c r="D22" s="555"/>
      <c r="E22" s="576" t="s">
        <v>3141</v>
      </c>
      <c r="F22" s="557"/>
      <c r="G22" s="576" t="s">
        <v>3141</v>
      </c>
      <c r="H22" s="555"/>
      <c r="I22" s="576" t="s">
        <v>3141</v>
      </c>
      <c r="J22" s="555"/>
      <c r="K22" s="2564"/>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35"/>
      <c r="Q23" s="1559" t="str">
        <f>B23</f>
        <v>自然及人文环境</v>
      </c>
      <c r="R23" s="1560" t="s">
        <v>11</v>
      </c>
      <c r="S23" s="1561">
        <f>F23</f>
        <v>100</v>
      </c>
      <c r="T23" s="1560" t="s">
        <v>11</v>
      </c>
      <c r="U23" s="1561">
        <f>H23</f>
        <v>100</v>
      </c>
      <c r="V23" s="1560" t="s">
        <v>11</v>
      </c>
      <c r="W23" s="1561">
        <f>J23</f>
        <v>100</v>
      </c>
      <c r="X23" s="1554"/>
      <c r="Y23" s="3435"/>
      <c r="Z23" s="1562" t="str">
        <f>Q23</f>
        <v>自然及人文环境</v>
      </c>
      <c r="AA23" s="1563">
        <f t="shared" si="3"/>
        <v>1</v>
      </c>
      <c r="AB23" s="1563">
        <f t="shared" si="4"/>
        <v>1</v>
      </c>
      <c r="AC23" s="1563">
        <f t="shared" si="5"/>
        <v>1</v>
      </c>
    </row>
    <row r="24" spans="1:29" ht="15">
      <c r="A24" s="532"/>
      <c r="B24" s="595"/>
      <c r="C24" s="576" t="s">
        <v>3139</v>
      </c>
      <c r="D24" s="555"/>
      <c r="E24" s="556" t="s">
        <v>3139</v>
      </c>
      <c r="F24" s="557"/>
      <c r="G24" s="558" t="s">
        <v>3139</v>
      </c>
      <c r="H24" s="555"/>
      <c r="I24" s="556" t="s">
        <v>3139</v>
      </c>
      <c r="J24" s="555"/>
      <c r="K24" s="870"/>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5"/>
      <c r="Q25" s="1559" t="str">
        <f t="shared" ref="Q25:Q46" si="11">B25</f>
        <v>楼层-1</v>
      </c>
      <c r="R25" s="1560" t="s">
        <v>11</v>
      </c>
      <c r="S25" s="1561">
        <f>F25</f>
        <v>100</v>
      </c>
      <c r="T25" s="1560" t="s">
        <v>11</v>
      </c>
      <c r="U25" s="1561">
        <f>H25</f>
        <v>100</v>
      </c>
      <c r="V25" s="1560" t="s">
        <v>11</v>
      </c>
      <c r="W25" s="1561">
        <f>J25</f>
        <v>100</v>
      </c>
      <c r="X25" s="1554"/>
      <c r="Y25" s="343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5"/>
      <c r="Q26" s="1559" t="str">
        <f t="shared" si="11"/>
        <v>朝向</v>
      </c>
      <c r="R26" s="1560" t="s">
        <v>11</v>
      </c>
      <c r="S26" s="1561">
        <f>F26</f>
        <v>100</v>
      </c>
      <c r="T26" s="1560" t="s">
        <v>11</v>
      </c>
      <c r="U26" s="1561">
        <f>H26</f>
        <v>100</v>
      </c>
      <c r="V26" s="1560" t="s">
        <v>11</v>
      </c>
      <c r="W26" s="1561">
        <f>J26</f>
        <v>100</v>
      </c>
      <c r="X26" s="1554"/>
      <c r="Y26" s="343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5"/>
      <c r="Q27" s="1147" t="str">
        <f t="shared" si="11"/>
        <v>道路级别</v>
      </c>
      <c r="R27" s="1555" t="s">
        <v>11</v>
      </c>
      <c r="S27" s="1556">
        <f>F27</f>
        <v>100</v>
      </c>
      <c r="T27" s="1555" t="s">
        <v>11</v>
      </c>
      <c r="U27" s="1556">
        <f>H27</f>
        <v>100</v>
      </c>
      <c r="V27" s="1555" t="s">
        <v>11</v>
      </c>
      <c r="W27" s="1556">
        <f>J27</f>
        <v>100</v>
      </c>
      <c r="X27" s="1557"/>
      <c r="Y27" s="343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5"/>
      <c r="Q29" s="1559">
        <f t="shared" si="11"/>
        <v>111</v>
      </c>
      <c r="R29" s="1560" t="s">
        <v>11</v>
      </c>
      <c r="S29" s="1561">
        <f t="shared" si="12"/>
        <v>100</v>
      </c>
      <c r="T29" s="1560" t="s">
        <v>11</v>
      </c>
      <c r="U29" s="1561">
        <f t="shared" si="13"/>
        <v>100</v>
      </c>
      <c r="V29" s="1560" t="s">
        <v>11</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5"/>
      <c r="Q30" s="1559">
        <f t="shared" si="11"/>
        <v>111</v>
      </c>
      <c r="R30" s="1560" t="s">
        <v>11</v>
      </c>
      <c r="S30" s="1561">
        <f t="shared" si="12"/>
        <v>100</v>
      </c>
      <c r="T30" s="1560" t="s">
        <v>11</v>
      </c>
      <c r="U30" s="1561">
        <f t="shared" si="13"/>
        <v>100</v>
      </c>
      <c r="V30" s="1560" t="s">
        <v>11</v>
      </c>
      <c r="W30" s="1561">
        <f t="shared" si="14"/>
        <v>100</v>
      </c>
      <c r="X30" s="1554"/>
      <c r="Y30" s="3435"/>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5"/>
      <c r="Q31" s="1559">
        <f t="shared" si="11"/>
        <v>111</v>
      </c>
      <c r="R31" s="1560" t="s">
        <v>11</v>
      </c>
      <c r="S31" s="1561">
        <f t="shared" si="12"/>
        <v>100</v>
      </c>
      <c r="T31" s="1560" t="s">
        <v>11</v>
      </c>
      <c r="U31" s="1561">
        <f t="shared" si="13"/>
        <v>100</v>
      </c>
      <c r="V31" s="1560" t="s">
        <v>11</v>
      </c>
      <c r="W31" s="1561">
        <f t="shared" si="14"/>
        <v>100</v>
      </c>
      <c r="X31" s="1554"/>
      <c r="Y31" s="3435"/>
      <c r="Z31" s="1562">
        <f t="shared" si="15"/>
        <v>111</v>
      </c>
      <c r="AA31" s="1563">
        <f t="shared" si="3"/>
        <v>1</v>
      </c>
      <c r="AB31" s="1563">
        <f t="shared" si="4"/>
        <v>1</v>
      </c>
      <c r="AC31" s="1563">
        <f t="shared" si="5"/>
        <v>1</v>
      </c>
    </row>
    <row r="32" spans="1:29" ht="15">
      <c r="A32" s="2863" t="s">
        <v>2754</v>
      </c>
      <c r="B32" s="172" t="s">
        <v>725</v>
      </c>
      <c r="C32" s="878" t="s">
        <v>3197</v>
      </c>
      <c r="D32" s="597">
        <v>100</v>
      </c>
      <c r="E32" s="879" t="s">
        <v>3197</v>
      </c>
      <c r="F32" s="575">
        <f>SUMIF(100:100,E32,101:101)-SUMIF(100:100,C32,101:101)+100</f>
        <v>100</v>
      </c>
      <c r="G32" s="878" t="s">
        <v>3197</v>
      </c>
      <c r="H32" s="597">
        <f>SUMIF(100:100,G32,101:101)-SUMIF(100:100,C32,101:101)+100</f>
        <v>100</v>
      </c>
      <c r="I32" s="879" t="s">
        <v>3197</v>
      </c>
      <c r="J32" s="540">
        <f>SUMIF(100:100,I32,101:101)-SUMIF(100:100,C32,101:101)+100</f>
        <v>100</v>
      </c>
      <c r="K32" s="864">
        <v>3</v>
      </c>
      <c r="L32" s="2128"/>
      <c r="M32" s="2120"/>
      <c r="N32" s="2120"/>
      <c r="O32" s="2127"/>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726</v>
      </c>
      <c r="C33" s="3207">
        <v>267487.61</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37"/>
      <c r="Q33" s="1591" t="str">
        <f t="shared" si="11"/>
        <v>项目建筑规模</v>
      </c>
      <c r="R33" s="1564" t="s">
        <v>11</v>
      </c>
      <c r="S33" s="1565">
        <f t="shared" si="12"/>
        <v>101</v>
      </c>
      <c r="T33" s="1564" t="s">
        <v>11</v>
      </c>
      <c r="U33" s="1565">
        <f t="shared" si="13"/>
        <v>101</v>
      </c>
      <c r="V33" s="1564" t="s">
        <v>11</v>
      </c>
      <c r="W33" s="1565">
        <f t="shared" si="14"/>
        <v>101</v>
      </c>
      <c r="X33" s="1566"/>
      <c r="Y33" s="3437"/>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3133</v>
      </c>
      <c r="D34" s="540">
        <v>100</v>
      </c>
      <c r="E34" s="882" t="s">
        <v>3133</v>
      </c>
      <c r="F34" s="575">
        <f>SUMIF(105:105,E34,106:106)-SUMIF(105:105,C34,106:106)+100</f>
        <v>100</v>
      </c>
      <c r="G34" s="881" t="s">
        <v>3133</v>
      </c>
      <c r="H34" s="540">
        <f>SUMIF(105:105,G34,106:106)-SUMIF(105:105,C34,106:106)+100</f>
        <v>100</v>
      </c>
      <c r="I34" s="882" t="s">
        <v>3133</v>
      </c>
      <c r="J34" s="540">
        <f>SUMIF(105:105,I34,106:106)-SUMIF(105:105,C34,106:106)+100</f>
        <v>100</v>
      </c>
      <c r="K34" s="864">
        <v>2</v>
      </c>
      <c r="L34" s="2128"/>
      <c r="M34" s="2120"/>
      <c r="N34" s="2120"/>
      <c r="O34" s="2127"/>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728</v>
      </c>
      <c r="C35" s="599" t="s">
        <v>3140</v>
      </c>
      <c r="D35" s="540">
        <v>100</v>
      </c>
      <c r="E35" s="874" t="s">
        <v>3140</v>
      </c>
      <c r="F35" s="575">
        <f>SUMIF(107:107,E35,108:108)-SUMIF(107:107,C35,108:108)+100</f>
        <v>100</v>
      </c>
      <c r="G35" s="599" t="s">
        <v>3140</v>
      </c>
      <c r="H35" s="540">
        <f>SUMIF(107:107,G35,108:108)-SUMIF(107:107,C35,108:108)+100</f>
        <v>100</v>
      </c>
      <c r="I35" s="874" t="s">
        <v>3140</v>
      </c>
      <c r="J35" s="540">
        <f>SUMIF(107:107,I35,108:108)-SUMIF(107:107,C35,108:108)+100</f>
        <v>100</v>
      </c>
      <c r="K35" s="864">
        <v>5</v>
      </c>
      <c r="L35" s="2128"/>
      <c r="M35" s="2120"/>
      <c r="N35" s="2120"/>
      <c r="O35" s="2127"/>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729</v>
      </c>
      <c r="C36" s="599" t="s">
        <v>3183</v>
      </c>
      <c r="D36" s="540">
        <v>100</v>
      </c>
      <c r="E36" s="874" t="s">
        <v>3183</v>
      </c>
      <c r="F36" s="575">
        <f>SUMIF(109:109,E36,110:110)-SUMIF(109:109,C36,110:110)+100</f>
        <v>100</v>
      </c>
      <c r="G36" s="599" t="s">
        <v>3183</v>
      </c>
      <c r="H36" s="540">
        <f>SUMIF(109:109,G36,110:110)-SUMIF(109:109,C36,110:110)+100</f>
        <v>100</v>
      </c>
      <c r="I36" s="874" t="s">
        <v>3183</v>
      </c>
      <c r="J36" s="540">
        <f>SUMIF(109:109,I36,110:110)-SUMIF(109:109,C36,110:110)+100</f>
        <v>100</v>
      </c>
      <c r="K36" s="864">
        <v>1</v>
      </c>
      <c r="L36" s="2128"/>
      <c r="M36" s="2120"/>
      <c r="N36" s="2120"/>
      <c r="O36" s="2127"/>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37"/>
      <c r="Q37" s="1147" t="str">
        <f t="shared" si="11"/>
        <v>成新度</v>
      </c>
      <c r="R37" s="1555" t="s">
        <v>11</v>
      </c>
      <c r="S37" s="1556">
        <f t="shared" si="12"/>
        <v>100</v>
      </c>
      <c r="T37" s="1555" t="s">
        <v>11</v>
      </c>
      <c r="U37" s="1556">
        <f t="shared" si="13"/>
        <v>100</v>
      </c>
      <c r="V37" s="1555" t="s">
        <v>11</v>
      </c>
      <c r="W37" s="1556">
        <f t="shared" si="14"/>
        <v>100</v>
      </c>
      <c r="X37" s="1557"/>
      <c r="Y37" s="3437"/>
      <c r="Z37" s="1146" t="str">
        <f t="shared" si="15"/>
        <v>成新度</v>
      </c>
      <c r="AA37" s="1558">
        <f t="shared" si="3"/>
        <v>1</v>
      </c>
      <c r="AB37" s="1558">
        <f t="shared" si="4"/>
        <v>1</v>
      </c>
      <c r="AC37" s="1558">
        <f t="shared" si="5"/>
        <v>1</v>
      </c>
    </row>
    <row r="38" spans="1:29" ht="15">
      <c r="A38" s="594"/>
      <c r="B38" s="527" t="s">
        <v>731</v>
      </c>
      <c r="C38" s="599" t="s">
        <v>3188</v>
      </c>
      <c r="D38" s="540">
        <v>100</v>
      </c>
      <c r="E38" s="874" t="s">
        <v>3188</v>
      </c>
      <c r="F38" s="575">
        <f>SUMIF(114:114,E38,115:115)-SUMIF(114:114,C38,115:115)+100</f>
        <v>100</v>
      </c>
      <c r="G38" s="599" t="s">
        <v>3188</v>
      </c>
      <c r="H38" s="540">
        <f>SUMIF(114:114,G38,115:115)-SUMIF(114:114,C38,115:115)+100</f>
        <v>100</v>
      </c>
      <c r="I38" s="874" t="s">
        <v>3188</v>
      </c>
      <c r="J38" s="540">
        <f>SUMIF(114:114,I38,115:115)-SUMIF(114:114,C38,115:115)+100</f>
        <v>100</v>
      </c>
      <c r="K38" s="864">
        <v>3</v>
      </c>
      <c r="L38" s="2128"/>
      <c r="M38" s="2120"/>
      <c r="N38" s="2120"/>
      <c r="O38" s="2127"/>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2563</v>
      </c>
      <c r="C39" s="599" t="s">
        <v>3141</v>
      </c>
      <c r="D39" s="540">
        <v>100</v>
      </c>
      <c r="E39" s="874" t="s">
        <v>3141</v>
      </c>
      <c r="F39" s="575">
        <f>SUMIF(116:116,E39,117:117)-SUMIF(116:116,C39,117:117)+100</f>
        <v>100</v>
      </c>
      <c r="G39" s="599" t="s">
        <v>3141</v>
      </c>
      <c r="H39" s="540">
        <f>SUMIF(116:116,G39,117:117)-SUMIF(116:116,C39,117:117)+100</f>
        <v>100</v>
      </c>
      <c r="I39" s="874" t="s">
        <v>3141</v>
      </c>
      <c r="J39" s="540">
        <f>SUMIF(116:116,I39,117:117)-SUMIF(116:116,C39,117:117)+100</f>
        <v>100</v>
      </c>
      <c r="K39" s="864">
        <v>1</v>
      </c>
      <c r="L39" s="2128"/>
      <c r="M39" s="2120"/>
      <c r="N39" s="2120"/>
      <c r="O39" s="2127"/>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
      <c r="A42" s="594"/>
      <c r="B42" s="527" t="s">
        <v>734</v>
      </c>
      <c r="C42" s="599" t="s">
        <v>3183</v>
      </c>
      <c r="D42" s="540">
        <v>100</v>
      </c>
      <c r="E42" s="874" t="s">
        <v>3183</v>
      </c>
      <c r="F42" s="575">
        <f>SUMIF(122:122,E42,123:123)-SUMIF(122:122,C42,123:123)+100</f>
        <v>100</v>
      </c>
      <c r="G42" s="599" t="s">
        <v>3183</v>
      </c>
      <c r="H42" s="540">
        <f>SUMIF(122:122,G42,123:123)-SUMIF(122:122,C42,123:123)+100</f>
        <v>100</v>
      </c>
      <c r="I42" s="874" t="s">
        <v>3183</v>
      </c>
      <c r="J42" s="540">
        <f>SUMIF(122:122,I42,123:123)-SUMIF(122:122,C42,123:123)+100</f>
        <v>100</v>
      </c>
      <c r="K42" s="864">
        <v>2</v>
      </c>
      <c r="L42" s="2128"/>
      <c r="M42" s="2120"/>
      <c r="N42" s="2120"/>
      <c r="O42" s="2127"/>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8.8">
      <c r="A43" s="594"/>
      <c r="B43" s="527" t="s">
        <v>735</v>
      </c>
      <c r="C43" s="599" t="s">
        <v>3140</v>
      </c>
      <c r="D43" s="540">
        <v>100</v>
      </c>
      <c r="E43" s="874" t="s">
        <v>3140</v>
      </c>
      <c r="F43" s="575">
        <f>SUMIF(124:124,E43,125:125)-SUMIF(124:124,C43,125:125)+100</f>
        <v>100</v>
      </c>
      <c r="G43" s="599" t="s">
        <v>3140</v>
      </c>
      <c r="H43" s="540">
        <f>SUMIF(124:124,G43,125:125)-SUMIF(124:124,C43,125:125)+100</f>
        <v>100</v>
      </c>
      <c r="I43" s="874" t="s">
        <v>3140</v>
      </c>
      <c r="J43" s="540">
        <f>SUMIF(124:124,I43,125:125)-SUMIF(124:124,C43,125:125)+100</f>
        <v>100</v>
      </c>
      <c r="K43" s="864">
        <v>1</v>
      </c>
      <c r="L43" s="2128"/>
      <c r="M43" s="2120"/>
      <c r="N43" s="2120"/>
      <c r="O43" s="2127"/>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4.4">
      <c r="A47" s="607" t="s">
        <v>736</v>
      </c>
      <c r="B47" s="887"/>
      <c r="C47" s="2592" t="s">
        <v>9</v>
      </c>
      <c r="D47" s="2593"/>
      <c r="E47" s="2594">
        <v>16500</v>
      </c>
      <c r="F47" s="2595"/>
      <c r="G47" s="2596">
        <v>14000</v>
      </c>
      <c r="H47" s="2597"/>
      <c r="I47" s="2594">
        <v>15500</v>
      </c>
      <c r="J47" s="2597"/>
      <c r="K47" s="1592"/>
      <c r="L47" s="2130"/>
      <c r="M47" s="2131"/>
      <c r="N47" s="2120"/>
      <c r="O47" s="2131"/>
      <c r="P47" s="3400" t="str">
        <f>A47</f>
        <v>成交单价（元/平方米）</v>
      </c>
      <c r="Q47" s="3400"/>
      <c r="R47" s="3517">
        <f>E47</f>
        <v>16500</v>
      </c>
      <c r="S47" s="3517"/>
      <c r="T47" s="3517">
        <f>G47</f>
        <v>14000</v>
      </c>
      <c r="U47" s="3517"/>
      <c r="V47" s="3517">
        <f>I47</f>
        <v>15500</v>
      </c>
      <c r="W47" s="3517"/>
      <c r="X47" s="1546"/>
      <c r="Y47" s="1568"/>
      <c r="Z47" s="1546"/>
      <c r="AA47" s="1546"/>
      <c r="AB47" s="1546"/>
      <c r="AC47" s="1546"/>
    </row>
    <row r="48" spans="1:29" ht="15" thickBot="1">
      <c r="A48" s="615" t="s">
        <v>2759</v>
      </c>
      <c r="B48" s="888"/>
      <c r="C48" s="2598">
        <f>R49</f>
        <v>16634</v>
      </c>
      <c r="D48" s="2599"/>
      <c r="E48" s="2600">
        <f>R48</f>
        <v>17900</v>
      </c>
      <c r="F48" s="2600"/>
      <c r="G48" s="2598">
        <f>T48</f>
        <v>15188</v>
      </c>
      <c r="H48" s="2599"/>
      <c r="I48" s="2600">
        <f>V48</f>
        <v>16815</v>
      </c>
      <c r="J48" s="2599"/>
      <c r="K48" s="1593"/>
      <c r="L48" s="2130"/>
      <c r="M48" s="2131"/>
      <c r="N48" s="2131"/>
      <c r="O48" s="2131"/>
      <c r="P48" s="3400" t="str">
        <f>A48</f>
        <v>比较价格（元/平方米）</v>
      </c>
      <c r="Q48" s="3400"/>
      <c r="R48" s="3517">
        <f>IF(F1="售价",ROUND(PRODUCT(R47,AA7:AA46),0),ROUND(PRODUCT(R47,AA7:AA46),1))</f>
        <v>17900</v>
      </c>
      <c r="S48" s="3517"/>
      <c r="T48" s="3517">
        <f>IF(F1="售价",ROUND(PRODUCT(T47,AB7:AB46),0),ROUND(PRODUCT(T47,AB7:AB46),1))</f>
        <v>15188</v>
      </c>
      <c r="U48" s="3517"/>
      <c r="V48" s="3517">
        <f>IF(F1="售价",ROUND(PRODUCT(V47,AC7:AC46),0),ROUND(PRODUCT(V47,AC7:AC46),1))</f>
        <v>16815</v>
      </c>
      <c r="W48" s="3517"/>
      <c r="X48" s="1546"/>
      <c r="Y48" s="1546"/>
      <c r="Z48" s="1546"/>
      <c r="AA48" s="1546"/>
      <c r="AB48" s="1546"/>
      <c r="AC48" s="1546"/>
    </row>
    <row r="49" spans="1:29" ht="15" thickBot="1">
      <c r="A49" s="621" t="s">
        <v>2935</v>
      </c>
      <c r="B49" s="622"/>
      <c r="C49" s="2601">
        <f>R49</f>
        <v>16634</v>
      </c>
      <c r="D49" s="2601"/>
      <c r="E49" s="2601"/>
      <c r="F49" s="2601"/>
      <c r="G49" s="2601"/>
      <c r="H49" s="2601"/>
      <c r="I49" s="2601"/>
      <c r="J49" s="2601"/>
      <c r="K49" s="1594"/>
      <c r="L49" s="2130"/>
      <c r="M49" s="2131"/>
      <c r="N49" s="2131"/>
      <c r="O49" s="2131"/>
      <c r="P49" s="3397" t="str">
        <f>A49</f>
        <v>估价对象XX用房的比较价格（楼面单价，元/平方米）</v>
      </c>
      <c r="Q49" s="3398"/>
      <c r="R49" s="3516">
        <f>IF(F1="售价",ROUND(AVERAGE(R48:V48),0),ROUND(AVERAGE(R48:V48),1))</f>
        <v>16634</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t="str">
        <f>C9</f>
        <v>住宅</v>
      </c>
      <c r="D63" s="3187" t="s">
        <v>3136</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3187" t="s">
        <v>3195</v>
      </c>
      <c r="D100" s="3187" t="s">
        <v>3196</v>
      </c>
      <c r="E100" s="3187" t="s">
        <v>3198</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3182</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3178</v>
      </c>
      <c r="D107" s="3193" t="s">
        <v>3179</v>
      </c>
      <c r="E107" s="3193" t="s">
        <v>3180</v>
      </c>
      <c r="F107" s="3193" t="s">
        <v>3181</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3184</v>
      </c>
      <c r="D109" s="3189" t="s">
        <v>3185</v>
      </c>
      <c r="E109" s="3189" t="s">
        <v>3186</v>
      </c>
      <c r="F109" s="3193" t="s">
        <v>3187</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3189</v>
      </c>
      <c r="D114" s="3189" t="s">
        <v>3190</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9" t="s">
        <v>3191</v>
      </c>
      <c r="D116" s="3189" t="s">
        <v>3192</v>
      </c>
      <c r="E116" s="3189" t="s">
        <v>3193</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3184</v>
      </c>
      <c r="D122" s="3189" t="s">
        <v>3185</v>
      </c>
      <c r="E122" s="3189" t="s">
        <v>3194</v>
      </c>
      <c r="F122" s="3193" t="s">
        <v>3187</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1" t="s">
        <v>524</v>
      </c>
      <c r="AC4" s="3403" t="s">
        <v>525</v>
      </c>
    </row>
    <row r="5" spans="1:29">
      <c r="A5" s="515"/>
      <c r="B5" s="516"/>
      <c r="C5" s="3422" t="s">
        <v>2929</v>
      </c>
      <c r="D5" s="3423"/>
      <c r="E5" s="3442" t="s">
        <v>2930</v>
      </c>
      <c r="F5" s="3443"/>
      <c r="G5" s="3422" t="s">
        <v>2931</v>
      </c>
      <c r="H5" s="3423"/>
      <c r="I5" s="3422" t="s">
        <v>2932</v>
      </c>
      <c r="J5" s="3423"/>
      <c r="K5" s="514"/>
      <c r="L5" s="2119"/>
      <c r="M5" s="2120"/>
      <c r="N5" s="2120"/>
      <c r="O5" s="2120"/>
      <c r="P5" s="3410"/>
      <c r="Q5" s="3411"/>
      <c r="R5" s="3416"/>
      <c r="S5" s="3417"/>
      <c r="T5" s="3416"/>
      <c r="U5" s="3417"/>
      <c r="V5" s="3401"/>
      <c r="W5" s="3401"/>
      <c r="X5" s="1554"/>
      <c r="Y5" s="3416"/>
      <c r="Z5" s="3417"/>
      <c r="AA5" s="3404"/>
      <c r="AB5" s="3401"/>
      <c r="AC5" s="3404"/>
    </row>
    <row r="6" spans="1:29" ht="15" thickBot="1">
      <c r="A6" s="517"/>
      <c r="B6" s="518"/>
      <c r="C6" s="3420" t="s">
        <v>2933</v>
      </c>
      <c r="D6" s="3421"/>
      <c r="E6" s="3438" t="s">
        <v>2933</v>
      </c>
      <c r="F6" s="3439"/>
      <c r="G6" s="3420" t="s">
        <v>2933</v>
      </c>
      <c r="H6" s="3421"/>
      <c r="I6" s="3420" t="s">
        <v>2933</v>
      </c>
      <c r="J6" s="3421"/>
      <c r="K6" s="514" t="s">
        <v>528</v>
      </c>
      <c r="L6" s="2119"/>
      <c r="M6" s="2120"/>
      <c r="N6" s="2120"/>
      <c r="O6" s="2120"/>
      <c r="P6" s="3412"/>
      <c r="Q6" s="3413"/>
      <c r="R6" s="3416"/>
      <c r="S6" s="3417"/>
      <c r="T6" s="3418"/>
      <c r="U6" s="3419"/>
      <c r="V6" s="3401"/>
      <c r="W6" s="3401"/>
      <c r="X6" s="1554"/>
      <c r="Y6" s="3418"/>
      <c r="Z6" s="3419"/>
      <c r="AA6" s="3405"/>
      <c r="AB6" s="3401"/>
      <c r="AC6" s="3405"/>
    </row>
    <row r="7" spans="1:29" s="1216" customFormat="1" ht="15" thickBot="1">
      <c r="A7" s="2868"/>
      <c r="B7" s="2875" t="s">
        <v>529</v>
      </c>
      <c r="C7" s="519">
        <f>'数据-取费表'!B2</f>
        <v>43657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4.4">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82.8">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4" t="s">
        <v>540</v>
      </c>
      <c r="Q15" s="1559" t="str">
        <f t="shared" si="6"/>
        <v>商业繁华度</v>
      </c>
      <c r="R15" s="1560" t="s">
        <v>8</v>
      </c>
      <c r="S15" s="1561">
        <f t="shared" si="0"/>
        <v>100</v>
      </c>
      <c r="T15" s="1560" t="s">
        <v>8</v>
      </c>
      <c r="U15" s="1561">
        <f t="shared" si="1"/>
        <v>100</v>
      </c>
      <c r="V15" s="1560" t="s">
        <v>8</v>
      </c>
      <c r="W15" s="1561">
        <f t="shared" si="2"/>
        <v>100</v>
      </c>
      <c r="X15" s="1554"/>
      <c r="Y15" s="343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1.4">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41.4">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5"/>
      <c r="Q23" s="1559" t="str">
        <f>B23</f>
        <v>自然及人文环境</v>
      </c>
      <c r="R23" s="1560" t="s">
        <v>8</v>
      </c>
      <c r="S23" s="1561">
        <f>F23</f>
        <v>100</v>
      </c>
      <c r="T23" s="1560" t="s">
        <v>8</v>
      </c>
      <c r="U23" s="1561">
        <f>H23</f>
        <v>100</v>
      </c>
      <c r="V23" s="1560" t="s">
        <v>8</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5"/>
      <c r="Q25" s="1559" t="str">
        <f t="shared" ref="Q25:Q46" si="11">B25</f>
        <v>临街状况</v>
      </c>
      <c r="R25" s="1560" t="s">
        <v>8</v>
      </c>
      <c r="S25" s="1561">
        <f>F25</f>
        <v>100</v>
      </c>
      <c r="T25" s="1560" t="s">
        <v>8</v>
      </c>
      <c r="U25" s="1561">
        <f>H25</f>
        <v>100</v>
      </c>
      <c r="V25" s="1560" t="s">
        <v>8</v>
      </c>
      <c r="W25" s="1561">
        <f>J25</f>
        <v>100</v>
      </c>
      <c r="X25" s="1554"/>
      <c r="Y25" s="343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5"/>
      <c r="Q26" s="1559" t="str">
        <f t="shared" si="11"/>
        <v>平面位置/可视性</v>
      </c>
      <c r="R26" s="1560" t="s">
        <v>8</v>
      </c>
      <c r="S26" s="1561">
        <f>F26</f>
        <v>100</v>
      </c>
      <c r="T26" s="1560" t="s">
        <v>8</v>
      </c>
      <c r="U26" s="1561">
        <f>H26</f>
        <v>100</v>
      </c>
      <c r="V26" s="1560" t="s">
        <v>8</v>
      </c>
      <c r="W26" s="1561">
        <f>J26</f>
        <v>100</v>
      </c>
      <c r="X26" s="1554"/>
      <c r="Y26" s="343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5"/>
      <c r="Q27" s="1147" t="str">
        <f t="shared" si="11"/>
        <v>人流量</v>
      </c>
      <c r="R27" s="1555" t="s">
        <v>8</v>
      </c>
      <c r="S27" s="1556">
        <f>F27</f>
        <v>100</v>
      </c>
      <c r="T27" s="1555" t="s">
        <v>8</v>
      </c>
      <c r="U27" s="1556">
        <f>H27</f>
        <v>100</v>
      </c>
      <c r="V27" s="1555" t="s">
        <v>8</v>
      </c>
      <c r="W27" s="1556">
        <f>J27</f>
        <v>100</v>
      </c>
      <c r="X27" s="1557"/>
      <c r="Y27" s="343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5"/>
      <c r="Q29" s="1559">
        <f t="shared" si="11"/>
        <v>111</v>
      </c>
      <c r="R29" s="1560" t="s">
        <v>8</v>
      </c>
      <c r="S29" s="1561">
        <f t="shared" si="12"/>
        <v>100</v>
      </c>
      <c r="T29" s="1560" t="s">
        <v>8</v>
      </c>
      <c r="U29" s="1561">
        <f t="shared" si="13"/>
        <v>100</v>
      </c>
      <c r="V29" s="1560" t="s">
        <v>8</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7" t="s">
        <v>766</v>
      </c>
      <c r="Q38" s="1559" t="str">
        <f t="shared" si="11"/>
        <v>业态</v>
      </c>
      <c r="R38" s="1560" t="s">
        <v>8</v>
      </c>
      <c r="S38" s="1561">
        <f t="shared" si="12"/>
        <v>100</v>
      </c>
      <c r="T38" s="1560" t="s">
        <v>8</v>
      </c>
      <c r="U38" s="1561">
        <f t="shared" si="13"/>
        <v>100</v>
      </c>
      <c r="V38" s="1560" t="s">
        <v>8</v>
      </c>
      <c r="W38" s="1561">
        <f t="shared" si="14"/>
        <v>100</v>
      </c>
      <c r="X38" s="1554"/>
      <c r="Y38" s="343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 thickBot="1">
      <c r="A49" s="621" t="s">
        <v>2935</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406" t="s">
        <v>522</v>
      </c>
      <c r="D4" s="3407"/>
      <c r="E4" s="3440" t="s">
        <v>523</v>
      </c>
      <c r="F4" s="3441"/>
      <c r="G4" s="3406" t="s">
        <v>524</v>
      </c>
      <c r="H4" s="3407"/>
      <c r="I4" s="3406" t="s">
        <v>525</v>
      </c>
      <c r="J4" s="3407"/>
      <c r="K4" s="514" t="s">
        <v>526</v>
      </c>
      <c r="L4" s="2119"/>
      <c r="M4" s="2120"/>
      <c r="N4" s="2120"/>
      <c r="O4" s="2120"/>
      <c r="P4" s="3522" t="s">
        <v>527</v>
      </c>
      <c r="Q4" s="3409"/>
      <c r="R4" s="3414" t="s">
        <v>523</v>
      </c>
      <c r="S4" s="3415"/>
      <c r="T4" s="3414" t="s">
        <v>524</v>
      </c>
      <c r="U4" s="3415"/>
      <c r="V4" s="3401" t="s">
        <v>525</v>
      </c>
      <c r="W4" s="3401"/>
      <c r="X4" s="1554"/>
      <c r="Y4" s="3414" t="s">
        <v>527</v>
      </c>
      <c r="Z4" s="3415"/>
      <c r="AA4" s="3403" t="s">
        <v>523</v>
      </c>
      <c r="AB4" s="3403" t="s">
        <v>524</v>
      </c>
      <c r="AC4" s="3403" t="s">
        <v>525</v>
      </c>
    </row>
    <row r="5" spans="1:29">
      <c r="A5" s="515"/>
      <c r="B5" s="516"/>
      <c r="C5" s="3422" t="s">
        <v>2929</v>
      </c>
      <c r="D5" s="3423"/>
      <c r="E5" s="3442" t="s">
        <v>2930</v>
      </c>
      <c r="F5" s="3443"/>
      <c r="G5" s="3422" t="s">
        <v>2931</v>
      </c>
      <c r="H5" s="3423"/>
      <c r="I5" s="3422" t="s">
        <v>2932</v>
      </c>
      <c r="J5" s="3423"/>
      <c r="K5" s="514"/>
      <c r="L5" s="2119"/>
      <c r="M5" s="2120"/>
      <c r="N5" s="2120"/>
      <c r="O5" s="2120"/>
      <c r="P5" s="3523"/>
      <c r="Q5" s="3411"/>
      <c r="R5" s="3416"/>
      <c r="S5" s="3417"/>
      <c r="T5" s="3416"/>
      <c r="U5" s="3417"/>
      <c r="V5" s="3401"/>
      <c r="W5" s="3401"/>
      <c r="X5" s="1554"/>
      <c r="Y5" s="3416"/>
      <c r="Z5" s="3417"/>
      <c r="AA5" s="3404"/>
      <c r="AB5" s="3404"/>
      <c r="AC5" s="3404"/>
    </row>
    <row r="6" spans="1:29" ht="15" thickBot="1">
      <c r="A6" s="517"/>
      <c r="B6" s="518"/>
      <c r="C6" s="3420" t="s">
        <v>2933</v>
      </c>
      <c r="D6" s="3421"/>
      <c r="E6" s="3438" t="s">
        <v>2933</v>
      </c>
      <c r="F6" s="3439"/>
      <c r="G6" s="3420" t="s">
        <v>2933</v>
      </c>
      <c r="H6" s="3421"/>
      <c r="I6" s="3420" t="s">
        <v>2933</v>
      </c>
      <c r="J6" s="3421"/>
      <c r="K6" s="514" t="s">
        <v>528</v>
      </c>
      <c r="L6" s="2119"/>
      <c r="M6" s="2120"/>
      <c r="N6" s="2120"/>
      <c r="O6" s="2120"/>
      <c r="P6" s="3524"/>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3"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3" t="s">
        <v>533</v>
      </c>
      <c r="Q8" s="3432"/>
      <c r="R8" s="1555" t="s">
        <v>8</v>
      </c>
      <c r="S8" s="1556">
        <f t="shared" si="0"/>
        <v>0</v>
      </c>
      <c r="T8" s="1555" t="s">
        <v>8</v>
      </c>
      <c r="U8" s="1556">
        <f t="shared" si="1"/>
        <v>0</v>
      </c>
      <c r="V8" s="1555" t="s">
        <v>8</v>
      </c>
      <c r="W8" s="1556">
        <f t="shared" si="2"/>
        <v>0</v>
      </c>
      <c r="X8" s="1557"/>
      <c r="Y8" s="3431" t="s">
        <v>533</v>
      </c>
      <c r="Z8" s="3432"/>
      <c r="AA8" s="1558" t="e">
        <f t="shared" ref="AA8:AA47" si="3">D8/F8</f>
        <v>#DIV/0!</v>
      </c>
      <c r="AB8" s="1558" t="e">
        <f t="shared" ref="AB8:AB47" si="4">D8/H8</f>
        <v>#DIV/0!</v>
      </c>
      <c r="AC8" s="1558" t="e">
        <f t="shared" ref="AC8:AC47" si="5">D8/J8</f>
        <v>#DIV/0!</v>
      </c>
    </row>
    <row r="9" spans="1:29" s="1216" customFormat="1" ht="14.4">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82.8">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4" t="s">
        <v>540</v>
      </c>
      <c r="Q15" s="1559" t="str">
        <f t="shared" si="6"/>
        <v>办公集聚程度</v>
      </c>
      <c r="R15" s="1560" t="s">
        <v>8</v>
      </c>
      <c r="S15" s="1561">
        <f t="shared" si="0"/>
        <v>100</v>
      </c>
      <c r="T15" s="1560" t="s">
        <v>8</v>
      </c>
      <c r="U15" s="1561">
        <f t="shared" si="1"/>
        <v>100</v>
      </c>
      <c r="V15" s="1560" t="s">
        <v>8</v>
      </c>
      <c r="W15" s="1561">
        <f t="shared" si="2"/>
        <v>100</v>
      </c>
      <c r="X15" s="1554"/>
      <c r="Y15" s="343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5"/>
      <c r="Q16" s="1559"/>
      <c r="R16" s="1560"/>
      <c r="S16" s="1561"/>
      <c r="T16" s="1560"/>
      <c r="U16" s="1561"/>
      <c r="V16" s="1560"/>
      <c r="W16" s="1561"/>
      <c r="X16" s="1554"/>
      <c r="Y16" s="3435"/>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5"/>
      <c r="Q18" s="1559"/>
      <c r="R18" s="1560"/>
      <c r="S18" s="1561"/>
      <c r="T18" s="1560"/>
      <c r="U18" s="1561"/>
      <c r="V18" s="1560"/>
      <c r="W18" s="1561"/>
      <c r="X18" s="1554"/>
      <c r="Y18" s="3435"/>
      <c r="Z18" s="1562"/>
      <c r="AA18" s="1563">
        <v>1</v>
      </c>
      <c r="AB18" s="1563">
        <v>1</v>
      </c>
      <c r="AC18" s="1563">
        <v>1</v>
      </c>
    </row>
    <row r="19" spans="1:29" ht="41.4">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5"/>
      <c r="Q20" s="1559"/>
      <c r="R20" s="1560"/>
      <c r="S20" s="1561"/>
      <c r="T20" s="1560"/>
      <c r="U20" s="1561"/>
      <c r="V20" s="1560"/>
      <c r="W20" s="1561"/>
      <c r="X20" s="1554"/>
      <c r="Y20" s="3435"/>
      <c r="Z20" s="1562"/>
      <c r="AA20" s="1563">
        <v>1</v>
      </c>
      <c r="AB20" s="1563">
        <v>1</v>
      </c>
      <c r="AC20" s="1563">
        <v>1</v>
      </c>
    </row>
    <row r="21" spans="1:29" ht="41.4">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5"/>
      <c r="Q22" s="2544"/>
      <c r="R22" s="1560"/>
      <c r="S22" s="1561"/>
      <c r="T22" s="1560"/>
      <c r="U22" s="1561"/>
      <c r="V22" s="1560"/>
      <c r="W22" s="1561"/>
      <c r="X22" s="2546"/>
      <c r="Y22" s="3435"/>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5"/>
      <c r="Q24" s="1559"/>
      <c r="R24" s="1560"/>
      <c r="S24" s="1561"/>
      <c r="T24" s="1560"/>
      <c r="U24" s="1561"/>
      <c r="V24" s="1560"/>
      <c r="W24" s="1561"/>
      <c r="X24" s="1554"/>
      <c r="Y24" s="3435"/>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5"/>
      <c r="Q25" s="1559" t="str">
        <f>B25</f>
        <v>毗邻道路的类型与等级</v>
      </c>
      <c r="R25" s="1560" t="s">
        <v>8</v>
      </c>
      <c r="S25" s="1561">
        <f>F25</f>
        <v>100</v>
      </c>
      <c r="T25" s="1560" t="s">
        <v>8</v>
      </c>
      <c r="U25" s="1561">
        <f>H25</f>
        <v>100</v>
      </c>
      <c r="V25" s="1560" t="s">
        <v>8</v>
      </c>
      <c r="W25" s="1561">
        <f>J25</f>
        <v>100</v>
      </c>
      <c r="X25" s="1554"/>
      <c r="Y25" s="343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5"/>
      <c r="Q26" s="1559"/>
      <c r="R26" s="1560"/>
      <c r="S26" s="1561"/>
      <c r="T26" s="1560"/>
      <c r="U26" s="1561"/>
      <c r="V26" s="1560"/>
      <c r="W26" s="1561"/>
      <c r="X26" s="1554"/>
      <c r="Y26" s="343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5"/>
      <c r="Q27" s="1559" t="str">
        <f t="shared" ref="Q27:Q47" si="11">B27</f>
        <v>楼层</v>
      </c>
      <c r="R27" s="1560" t="s">
        <v>8</v>
      </c>
      <c r="S27" s="1561">
        <f>F27</f>
        <v>100</v>
      </c>
      <c r="T27" s="1560" t="s">
        <v>8</v>
      </c>
      <c r="U27" s="1561">
        <f>H27</f>
        <v>100</v>
      </c>
      <c r="V27" s="1560" t="s">
        <v>8</v>
      </c>
      <c r="W27" s="1561">
        <f>J27</f>
        <v>100</v>
      </c>
      <c r="X27" s="1554"/>
      <c r="Y27" s="343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5"/>
      <c r="Q28" s="1147" t="str">
        <f t="shared" si="11"/>
        <v>朝向</v>
      </c>
      <c r="R28" s="1555" t="s">
        <v>8</v>
      </c>
      <c r="S28" s="1556">
        <f>F28</f>
        <v>100</v>
      </c>
      <c r="T28" s="1555" t="s">
        <v>8</v>
      </c>
      <c r="U28" s="1556">
        <f>H28</f>
        <v>100</v>
      </c>
      <c r="V28" s="1555" t="s">
        <v>8</v>
      </c>
      <c r="W28" s="1556">
        <f>J28</f>
        <v>100</v>
      </c>
      <c r="X28" s="1557"/>
      <c r="Y28" s="343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5"/>
      <c r="Q29" s="1559">
        <f t="shared" si="11"/>
        <v>111</v>
      </c>
      <c r="R29" s="1560" t="s">
        <v>8</v>
      </c>
      <c r="S29" s="1561">
        <f t="shared" ref="S29:S47" si="12">F29</f>
        <v>100</v>
      </c>
      <c r="T29" s="1560" t="s">
        <v>8</v>
      </c>
      <c r="U29" s="1561">
        <f t="shared" ref="U29:U47" si="13">H29</f>
        <v>100</v>
      </c>
      <c r="V29" s="1560" t="s">
        <v>8</v>
      </c>
      <c r="W29" s="1561">
        <f t="shared" ref="W29:W47" si="14">J29</f>
        <v>100</v>
      </c>
      <c r="X29" s="1554"/>
      <c r="Y29" s="343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5"/>
      <c r="Q32" s="1559">
        <f t="shared" si="11"/>
        <v>111</v>
      </c>
      <c r="R32" s="1560" t="s">
        <v>8</v>
      </c>
      <c r="S32" s="1561">
        <f t="shared" si="12"/>
        <v>100</v>
      </c>
      <c r="T32" s="1560" t="s">
        <v>8</v>
      </c>
      <c r="U32" s="1561">
        <f t="shared" si="13"/>
        <v>100</v>
      </c>
      <c r="V32" s="1560" t="s">
        <v>8</v>
      </c>
      <c r="W32" s="1561">
        <f t="shared" si="14"/>
        <v>100</v>
      </c>
      <c r="X32" s="1554"/>
      <c r="Y32" s="3435"/>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398" t="str">
        <f>A48</f>
        <v>成交单价（元/平方米）</v>
      </c>
      <c r="Q48" s="3400"/>
      <c r="R48" s="3517">
        <f>E48</f>
        <v>0</v>
      </c>
      <c r="S48" s="3517"/>
      <c r="T48" s="3517">
        <f>G48</f>
        <v>0</v>
      </c>
      <c r="U48" s="3517"/>
      <c r="V48" s="3517">
        <f>I48</f>
        <v>0</v>
      </c>
      <c r="W48" s="3517"/>
      <c r="X48" s="1546"/>
      <c r="Y48" s="1568"/>
      <c r="Z48" s="1546"/>
      <c r="AA48" s="1546"/>
      <c r="AB48" s="1546"/>
      <c r="AC48" s="1546"/>
    </row>
    <row r="49" spans="1:29" ht="1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400"/>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 thickBot="1">
      <c r="A50" s="621" t="s">
        <v>2935</v>
      </c>
      <c r="B50" s="622"/>
      <c r="C50" s="2601" t="e">
        <f>R50</f>
        <v>#DIV/0!</v>
      </c>
      <c r="D50" s="2601"/>
      <c r="E50" s="2601"/>
      <c r="F50" s="2601"/>
      <c r="G50" s="2601"/>
      <c r="H50" s="2601"/>
      <c r="I50" s="2601"/>
      <c r="J50" s="2601"/>
      <c r="K50" s="1599"/>
      <c r="L50" s="2130"/>
      <c r="M50" s="2120"/>
      <c r="N50" s="2120"/>
      <c r="O50" s="2120"/>
      <c r="P50" s="3521" t="str">
        <f>A50</f>
        <v>估价对象XX用房的比较价格（楼面单价，元/平方米）</v>
      </c>
      <c r="Q50" s="3398"/>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4" t="s">
        <v>524</v>
      </c>
      <c r="AC4" s="3403" t="s">
        <v>525</v>
      </c>
    </row>
    <row r="5" spans="1:29">
      <c r="A5" s="515"/>
      <c r="B5" s="516"/>
      <c r="C5" s="3422" t="s">
        <v>2929</v>
      </c>
      <c r="D5" s="3423"/>
      <c r="E5" s="3442" t="s">
        <v>2930</v>
      </c>
      <c r="F5" s="3443"/>
      <c r="G5" s="3422" t="s">
        <v>2931</v>
      </c>
      <c r="H5" s="3423"/>
      <c r="I5" s="3422" t="s">
        <v>2932</v>
      </c>
      <c r="J5" s="3423"/>
      <c r="K5" s="514"/>
      <c r="L5" s="2119"/>
      <c r="M5" s="2120"/>
      <c r="N5" s="2120"/>
      <c r="O5" s="2120"/>
      <c r="P5" s="3410"/>
      <c r="Q5" s="3411"/>
      <c r="R5" s="3416"/>
      <c r="S5" s="3417"/>
      <c r="T5" s="3416"/>
      <c r="U5" s="3417"/>
      <c r="V5" s="3401"/>
      <c r="W5" s="3401"/>
      <c r="X5" s="1554"/>
      <c r="Y5" s="3416"/>
      <c r="Z5" s="3417"/>
      <c r="AA5" s="3404"/>
      <c r="AB5" s="3404"/>
      <c r="AC5" s="3404"/>
    </row>
    <row r="6" spans="1:29" ht="15" thickBot="1">
      <c r="A6" s="517"/>
      <c r="B6" s="518"/>
      <c r="C6" s="3420" t="s">
        <v>2933</v>
      </c>
      <c r="D6" s="3421"/>
      <c r="E6" s="3438" t="s">
        <v>2933</v>
      </c>
      <c r="F6" s="3439"/>
      <c r="G6" s="3420" t="s">
        <v>2933</v>
      </c>
      <c r="H6" s="3421"/>
      <c r="I6" s="3420" t="s">
        <v>2933</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0" si="3">D8/F8</f>
        <v>#DIV/0!</v>
      </c>
      <c r="AB8" s="1558" t="e">
        <f t="shared" ref="AB8:AB40" si="4">D8/H8</f>
        <v>#DIV/0!</v>
      </c>
      <c r="AC8" s="1558" t="e">
        <f t="shared" ref="AC8:AC40" si="5">D8/J8</f>
        <v>#DIV/0!</v>
      </c>
    </row>
    <row r="9" spans="1:29" s="1216" customFormat="1" ht="14.4">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69">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4" t="s">
        <v>540</v>
      </c>
      <c r="Q15" s="1559" t="str">
        <f t="shared" si="6"/>
        <v>产业集聚程度</v>
      </c>
      <c r="R15" s="1560" t="s">
        <v>8</v>
      </c>
      <c r="S15" s="1561">
        <f t="shared" si="0"/>
        <v>100</v>
      </c>
      <c r="T15" s="1560" t="s">
        <v>8</v>
      </c>
      <c r="U15" s="1561">
        <f t="shared" si="1"/>
        <v>100</v>
      </c>
      <c r="V15" s="1560" t="s">
        <v>8</v>
      </c>
      <c r="W15" s="1561">
        <f t="shared" si="2"/>
        <v>100</v>
      </c>
      <c r="X15" s="1554"/>
      <c r="Y15" s="343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1.4">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41.4">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5"/>
      <c r="Q25" s="1559">
        <f>B25</f>
        <v>111</v>
      </c>
      <c r="R25" s="1560" t="s">
        <v>8</v>
      </c>
      <c r="S25" s="1561">
        <f>F25</f>
        <v>100</v>
      </c>
      <c r="T25" s="1560" t="s">
        <v>8</v>
      </c>
      <c r="U25" s="1561">
        <f>H25</f>
        <v>100</v>
      </c>
      <c r="V25" s="1560" t="s">
        <v>8</v>
      </c>
      <c r="W25" s="1561">
        <f>J25</f>
        <v>100</v>
      </c>
      <c r="X25" s="1554"/>
      <c r="Y25" s="343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5"/>
      <c r="Q26" s="1559">
        <f t="shared" ref="Q26:Q40" si="11">B26</f>
        <v>111</v>
      </c>
      <c r="R26" s="1560" t="s">
        <v>8</v>
      </c>
      <c r="S26" s="1561">
        <f>F26</f>
        <v>100</v>
      </c>
      <c r="T26" s="1560" t="s">
        <v>8</v>
      </c>
      <c r="U26" s="1561">
        <f>H26</f>
        <v>100</v>
      </c>
      <c r="V26" s="1560" t="s">
        <v>8</v>
      </c>
      <c r="W26" s="1561">
        <f>J26</f>
        <v>100</v>
      </c>
      <c r="X26" s="1554"/>
      <c r="Y26" s="343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5"/>
      <c r="Q27" s="1147">
        <f t="shared" si="11"/>
        <v>111</v>
      </c>
      <c r="R27" s="1555" t="s">
        <v>8</v>
      </c>
      <c r="S27" s="1556">
        <f>F27</f>
        <v>100</v>
      </c>
      <c r="T27" s="1555" t="s">
        <v>8</v>
      </c>
      <c r="U27" s="1556">
        <f>H27</f>
        <v>100</v>
      </c>
      <c r="V27" s="1555" t="s">
        <v>8</v>
      </c>
      <c r="W27" s="1556">
        <f>J27</f>
        <v>100</v>
      </c>
      <c r="X27" s="1557"/>
      <c r="Y27" s="3435"/>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5"/>
      <c r="Q28" s="1559">
        <f t="shared" si="11"/>
        <v>111</v>
      </c>
      <c r="R28" s="1560" t="s">
        <v>8</v>
      </c>
      <c r="S28" s="1561">
        <f t="shared" ref="S28:S40" si="12">F28</f>
        <v>100</v>
      </c>
      <c r="T28" s="1560" t="s">
        <v>8</v>
      </c>
      <c r="U28" s="1561">
        <f t="shared" ref="U28:U40" si="13">H28</f>
        <v>100</v>
      </c>
      <c r="V28" s="1560" t="s">
        <v>8</v>
      </c>
      <c r="W28" s="1561">
        <f t="shared" ref="W28:W40" si="14">J28</f>
        <v>100</v>
      </c>
      <c r="X28" s="1554"/>
      <c r="Y28" s="3435"/>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400" t="str">
        <f>A41</f>
        <v>成交单价（元/平方米）</v>
      </c>
      <c r="Q41" s="3400"/>
      <c r="R41" s="3517">
        <f>E41</f>
        <v>0</v>
      </c>
      <c r="S41" s="3517"/>
      <c r="T41" s="3517">
        <f>G41</f>
        <v>0</v>
      </c>
      <c r="U41" s="3517"/>
      <c r="V41" s="3517">
        <f>I41</f>
        <v>0</v>
      </c>
      <c r="W41" s="3517"/>
      <c r="X41" s="1546"/>
      <c r="Y41" s="1568"/>
      <c r="Z41" s="1546"/>
      <c r="AA41" s="1546"/>
      <c r="AB41" s="1546"/>
      <c r="AC41" s="1546"/>
    </row>
    <row r="42" spans="1:29" ht="1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400" t="str">
        <f>A42</f>
        <v>比较价格（元/平方米）</v>
      </c>
      <c r="Q42" s="3400"/>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 thickBot="1">
      <c r="A43" s="621" t="s">
        <v>2935</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06" t="s">
        <v>798</v>
      </c>
      <c r="D4" s="3407"/>
      <c r="E4" s="3406" t="s">
        <v>799</v>
      </c>
      <c r="F4" s="3407"/>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c r="A5" s="515"/>
      <c r="B5" s="516"/>
      <c r="C5" s="3422" t="s">
        <v>2929</v>
      </c>
      <c r="D5" s="3423"/>
      <c r="E5" s="3422" t="s">
        <v>2930</v>
      </c>
      <c r="F5" s="3423"/>
      <c r="G5" s="3422" t="s">
        <v>2931</v>
      </c>
      <c r="H5" s="3423"/>
      <c r="I5" s="3422" t="s">
        <v>2932</v>
      </c>
      <c r="J5" s="3423"/>
      <c r="K5" s="514"/>
      <c r="L5" s="2119"/>
      <c r="M5" s="2120"/>
      <c r="N5" s="2120"/>
      <c r="O5" s="2120"/>
      <c r="P5" s="3410"/>
      <c r="Q5" s="3411"/>
      <c r="R5" s="3416"/>
      <c r="S5" s="3417"/>
      <c r="T5" s="3416"/>
      <c r="U5" s="3417"/>
      <c r="V5" s="3401"/>
      <c r="W5" s="3401"/>
      <c r="X5" s="1554"/>
      <c r="Y5" s="3416"/>
      <c r="Z5" s="3417"/>
      <c r="AA5" s="3404"/>
      <c r="AB5" s="3404"/>
      <c r="AC5" s="3404"/>
    </row>
    <row r="6" spans="1:29" ht="15" thickBot="1">
      <c r="A6" s="517"/>
      <c r="B6" s="518"/>
      <c r="C6" s="3420" t="s">
        <v>2933</v>
      </c>
      <c r="D6" s="3421"/>
      <c r="E6" s="3424" t="s">
        <v>2933</v>
      </c>
      <c r="F6" s="3425"/>
      <c r="G6" s="3420" t="s">
        <v>2933</v>
      </c>
      <c r="H6" s="3421"/>
      <c r="I6" s="3420" t="s">
        <v>2933</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6" si="3">D8/F8</f>
        <v>#DIV/0!</v>
      </c>
      <c r="AB8" s="1558" t="e">
        <f t="shared" ref="AB8:AB36" si="4">D8/H8</f>
        <v>#DIV/0!</v>
      </c>
      <c r="AC8" s="1558" t="e">
        <f t="shared" ref="AC8:AC36" si="5">D8/J8</f>
        <v>#DIV/0!</v>
      </c>
    </row>
    <row r="9" spans="1:29" s="1216" customFormat="1" ht="14.4">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8.8">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96.6">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1.4">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41.4">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5"/>
      <c r="Q24" s="1559">
        <f t="shared" ref="Q24:Q36"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400" t="str">
        <f>A37</f>
        <v>成交单价</v>
      </c>
      <c r="Q37" s="3400"/>
      <c r="R37" s="3517">
        <f>E37</f>
        <v>0</v>
      </c>
      <c r="S37" s="3517"/>
      <c r="T37" s="3517">
        <f>G37</f>
        <v>0</v>
      </c>
      <c r="U37" s="3517"/>
      <c r="V37" s="3517">
        <f>I37</f>
        <v>0</v>
      </c>
      <c r="W37" s="3517"/>
      <c r="X37" s="1546"/>
      <c r="Y37" s="1568"/>
      <c r="Z37" s="1546"/>
      <c r="AA37" s="1546"/>
      <c r="AB37" s="1546"/>
      <c r="AC37" s="1546"/>
    </row>
    <row r="38" spans="1:29" ht="1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400" t="str">
        <f>A38</f>
        <v>比较价格（元/平方米）</v>
      </c>
      <c r="Q38" s="3400"/>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 thickBot="1">
      <c r="A39" s="621" t="s">
        <v>2935</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06" t="s">
        <v>798</v>
      </c>
      <c r="D4" s="3407"/>
      <c r="E4" s="3440" t="s">
        <v>799</v>
      </c>
      <c r="F4" s="3441"/>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c r="A5" s="515"/>
      <c r="B5" s="516"/>
      <c r="C5" s="3422" t="s">
        <v>2929</v>
      </c>
      <c r="D5" s="3423"/>
      <c r="E5" s="3442" t="s">
        <v>2930</v>
      </c>
      <c r="F5" s="3443"/>
      <c r="G5" s="3422" t="s">
        <v>2931</v>
      </c>
      <c r="H5" s="3423"/>
      <c r="I5" s="3422" t="s">
        <v>2932</v>
      </c>
      <c r="J5" s="3423"/>
      <c r="K5" s="514"/>
      <c r="L5" s="2119"/>
      <c r="M5" s="2120"/>
      <c r="N5" s="2120"/>
      <c r="O5" s="2120"/>
      <c r="P5" s="3410"/>
      <c r="Q5" s="3411"/>
      <c r="R5" s="3416"/>
      <c r="S5" s="3417"/>
      <c r="T5" s="3416"/>
      <c r="U5" s="3417"/>
      <c r="V5" s="3401"/>
      <c r="W5" s="3401"/>
      <c r="X5" s="1554"/>
      <c r="Y5" s="3416"/>
      <c r="Z5" s="3417"/>
      <c r="AA5" s="3404"/>
      <c r="AB5" s="3404"/>
      <c r="AC5" s="3404"/>
    </row>
    <row r="6" spans="1:29" ht="15" thickBot="1">
      <c r="A6" s="517"/>
      <c r="B6" s="518"/>
      <c r="C6" s="3420" t="s">
        <v>2933</v>
      </c>
      <c r="D6" s="3421"/>
      <c r="E6" s="3438" t="s">
        <v>2933</v>
      </c>
      <c r="F6" s="3439"/>
      <c r="G6" s="3420" t="s">
        <v>2933</v>
      </c>
      <c r="H6" s="3421"/>
      <c r="I6" s="3420" t="s">
        <v>2933</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4" si="3">D8/F8</f>
        <v>#DIV/0!</v>
      </c>
      <c r="AB8" s="1558" t="e">
        <f t="shared" ref="AB8:AB34" si="4">D8/H8</f>
        <v>#DIV/0!</v>
      </c>
      <c r="AC8" s="1558" t="e">
        <f t="shared" ref="AC8:AC34" si="5">D8/J8</f>
        <v>#DIV/0!</v>
      </c>
    </row>
    <row r="9" spans="1:29" s="1216" customFormat="1" ht="14.4">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8.8">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96.6">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1.4">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41.4">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5"/>
      <c r="Q24" s="1559">
        <f t="shared" ref="Q24:Q34"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400" t="str">
        <f>A35</f>
        <v>成交单价（元/平方米）</v>
      </c>
      <c r="Q35" s="3400"/>
      <c r="R35" s="3517">
        <f>E35</f>
        <v>0</v>
      </c>
      <c r="S35" s="3517"/>
      <c r="T35" s="3517">
        <f>G35</f>
        <v>0</v>
      </c>
      <c r="U35" s="3517"/>
      <c r="V35" s="3517">
        <f>I35</f>
        <v>0</v>
      </c>
      <c r="W35" s="3517"/>
      <c r="X35" s="1546"/>
      <c r="Y35" s="1568"/>
      <c r="Z35" s="1546"/>
      <c r="AA35" s="1546"/>
      <c r="AB35" s="1546"/>
      <c r="AC35" s="1546"/>
    </row>
    <row r="36" spans="1:29" ht="1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400" t="str">
        <f>A36</f>
        <v>比较价格（元/平方米）</v>
      </c>
      <c r="Q36" s="3400"/>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 thickBot="1">
      <c r="A37" s="621" t="s">
        <v>2935</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五矿信托：</v>
      </c>
    </row>
    <row r="4" spans="1:4" ht="34.799999999999997">
      <c r="A4" s="1777" t="str">
        <f>"受贵公司委托，我公司对"&amp;项目基本情况!K2&amp;项目基本情况!B9&amp;"进行了预评估。"</f>
        <v>受贵公司委托，我公司对k5雅苑出让国有建设用地使用权抵押价格进行了预评估。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87">
      <c r="A7" s="2829" t="s">
        <v>2747</v>
      </c>
    </row>
    <row r="8" spans="1:4" ht="17.399999999999999">
      <c r="A8" s="1780" t="s">
        <v>1906</v>
      </c>
    </row>
    <row r="9" spans="1:4" ht="69.599999999999994">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2019年7月11日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2748</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8" t="s">
        <v>2304</v>
      </c>
      <c r="D1" s="3529"/>
      <c r="E1" s="3529"/>
      <c r="F1" s="3529"/>
      <c r="G1" s="3529"/>
      <c r="H1" s="3529"/>
      <c r="I1" s="3529"/>
      <c r="J1" s="3529"/>
      <c r="K1" s="3529"/>
      <c r="L1" s="3529"/>
      <c r="M1" s="3529"/>
      <c r="N1" s="3529"/>
      <c r="O1" s="3529"/>
      <c r="P1" s="3529"/>
      <c r="Q1" s="3529"/>
      <c r="R1" s="3529"/>
      <c r="S1" s="353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2787</v>
      </c>
      <c r="C1" s="2960">
        <f>项目基本情况!D3</f>
        <v>43657</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115" zoomScaleNormal="115" workbookViewId="0">
      <selection activeCell="C19" sqref="C19"/>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3208</v>
      </c>
      <c r="D1" s="3078" t="s">
        <v>952</v>
      </c>
      <c r="E1" s="2352" t="s">
        <v>870</v>
      </c>
      <c r="F1" s="2353">
        <f ca="1">J53</f>
        <v>50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1897</v>
      </c>
      <c r="C2" s="2043"/>
      <c r="D2" s="2041"/>
      <c r="E2" s="2042"/>
      <c r="F2" s="2042"/>
      <c r="G2" s="1577"/>
      <c r="H2" s="2043"/>
      <c r="I2" s="2043"/>
      <c r="J2" s="2043"/>
      <c r="K2" s="2044"/>
      <c r="L2" s="2043"/>
      <c r="M2" s="2043"/>
    </row>
    <row r="3" spans="1:33" ht="18" customHeight="1" thickBot="1">
      <c r="A3" s="833" t="s">
        <v>519</v>
      </c>
      <c r="B3" s="834">
        <f ca="1">IF(ISERROR(B2*10000/F43),0,ROUND(B2*10000/F43,0))</f>
        <v>370</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2457</v>
      </c>
      <c r="C5" s="55">
        <f ca="1">C6+C10+C12</f>
        <v>481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480</v>
      </c>
      <c r="D6" s="2462" t="s">
        <v>2461</v>
      </c>
      <c r="E6" s="784" t="s">
        <v>1738</v>
      </c>
      <c r="F6" s="785">
        <f ca="1">INDIRECT("'数据-取费表'!u"&amp;$G$1)</f>
        <v>0.27</v>
      </c>
      <c r="G6" s="1579"/>
      <c r="H6" s="2469" t="s">
        <v>1824</v>
      </c>
      <c r="I6" s="3487" t="s">
        <v>2462</v>
      </c>
      <c r="J6" s="783">
        <f ca="1">ROUND(M6*M8*M7*(1-M9)/10000,0)</f>
        <v>0</v>
      </c>
      <c r="K6" s="341" t="s">
        <v>1737</v>
      </c>
      <c r="L6" s="784" t="s">
        <v>1738</v>
      </c>
      <c r="M6" s="785">
        <f ca="1">INDIRECT("'数据-取费表'!z"&amp;$G$1)</f>
        <v>0</v>
      </c>
    </row>
    <row r="7" spans="1:33" ht="18" customHeight="1">
      <c r="A7" s="2465"/>
      <c r="B7" s="3488"/>
      <c r="C7" s="788"/>
      <c r="D7" s="789"/>
      <c r="E7" s="784" t="s">
        <v>638</v>
      </c>
      <c r="F7" s="785">
        <f ca="1">IF(INDIRECT("'数据-取费表'!ah"&amp;$G$1)="",INDIRECT("'数据-取费表'!k"&amp;$G$1),INDIRECT("'数据-取费表'!ah"&amp;$G$1))</f>
        <v>51281.989903754205</v>
      </c>
      <c r="G7" s="1579"/>
      <c r="H7" s="2454"/>
      <c r="I7" s="3488"/>
      <c r="J7" s="788"/>
      <c r="K7" s="789"/>
      <c r="L7" s="784" t="s">
        <v>638</v>
      </c>
      <c r="M7" s="785">
        <f ca="1">F7</f>
        <v>51281.989903754205</v>
      </c>
    </row>
    <row r="8" spans="1:33" ht="18" customHeight="1">
      <c r="A8" s="2458"/>
      <c r="B8" s="3489"/>
      <c r="C8" s="788"/>
      <c r="D8" s="789"/>
      <c r="E8" s="784" t="s">
        <v>639</v>
      </c>
      <c r="F8" s="785">
        <f ca="1">INDIRECT("'数据-取费表'!ai"&amp;$G$1)</f>
        <v>365</v>
      </c>
      <c r="G8" s="1579"/>
      <c r="H8" s="2454"/>
      <c r="I8" s="3489"/>
      <c r="J8" s="788"/>
      <c r="K8" s="789"/>
      <c r="L8" s="784" t="s">
        <v>639</v>
      </c>
      <c r="M8" s="785">
        <f ca="1">INDIRECT("'数据-取费表'!ai"&amp;$G$1)</f>
        <v>365</v>
      </c>
    </row>
    <row r="9" spans="1:33" ht="18" customHeight="1">
      <c r="A9" s="786"/>
      <c r="B9" s="3490"/>
      <c r="C9" s="788"/>
      <c r="D9" s="789"/>
      <c r="E9" s="784" t="s">
        <v>1741</v>
      </c>
      <c r="F9" s="794">
        <f ca="1">INDIRECT("'数据-取费表'!w"&amp;$G$1)</f>
        <v>0.05</v>
      </c>
      <c r="G9" s="1579"/>
      <c r="H9" s="2470"/>
      <c r="I9" s="3489"/>
      <c r="J9" s="788"/>
      <c r="K9" s="789"/>
      <c r="L9" s="795" t="s">
        <v>1741</v>
      </c>
      <c r="M9" s="796">
        <f ca="1">INDIRECT("'数据-取费表'!ab"&amp;$G$1)</f>
        <v>0</v>
      </c>
    </row>
    <row r="10" spans="1:33" ht="18" customHeight="1">
      <c r="A10" s="1816" t="s">
        <v>1825</v>
      </c>
      <c r="B10" s="2459" t="s">
        <v>2458</v>
      </c>
      <c r="C10" s="799">
        <f ca="1">ROUND(IF(F10="押一",C6/12*F11,IF(F10="押二",C6/12*2*F11,IF(F10="押三",C6/12*3*F11,C11*F11))),0)</f>
        <v>1</v>
      </c>
      <c r="D10" s="2466" t="s">
        <v>2974</v>
      </c>
      <c r="E10" s="2463" t="s">
        <v>2463</v>
      </c>
      <c r="F10" s="2586" t="s">
        <v>3131</v>
      </c>
      <c r="G10" s="1579"/>
      <c r="H10" s="2526" t="s">
        <v>1825</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2455</v>
      </c>
      <c r="F11" s="796">
        <f ca="1">'数据-取费表'!B39</f>
        <v>1.4999999999999999E-2</v>
      </c>
      <c r="G11" s="1579"/>
      <c r="H11" s="2527"/>
      <c r="I11" s="2460" t="s">
        <v>2572</v>
      </c>
      <c r="J11" s="2464"/>
      <c r="K11" s="2528"/>
      <c r="L11" s="2463" t="s">
        <v>2455</v>
      </c>
      <c r="M11" s="2457">
        <f ca="1">'数据-取费表'!B39</f>
        <v>1.4999999999999999E-2</v>
      </c>
    </row>
    <row r="12" spans="1:33" ht="18" customHeight="1" thickBot="1">
      <c r="A12" s="2502" t="s">
        <v>2466</v>
      </c>
      <c r="B12" s="2503" t="s">
        <v>2459</v>
      </c>
      <c r="C12" s="2504"/>
      <c r="D12" s="2505"/>
      <c r="E12" s="2506"/>
      <c r="F12" s="2507"/>
      <c r="G12" s="1579"/>
      <c r="H12" s="2516" t="s">
        <v>2466</v>
      </c>
      <c r="I12" s="2529" t="s">
        <v>2459</v>
      </c>
      <c r="J12" s="2530"/>
      <c r="K12" s="2505"/>
      <c r="L12" s="2506"/>
      <c r="M12" s="2519"/>
    </row>
    <row r="13" spans="1:33" ht="18" customHeight="1" thickTop="1">
      <c r="A13" s="1815">
        <v>2</v>
      </c>
      <c r="B13" s="1813" t="s">
        <v>1742</v>
      </c>
      <c r="C13" s="792">
        <f ca="1">ROUND(C29*F13,0)</f>
        <v>15887</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10996</v>
      </c>
      <c r="D14" s="3211" t="s">
        <v>646</v>
      </c>
      <c r="E14" s="3212"/>
      <c r="F14" s="805"/>
      <c r="G14" s="1579"/>
      <c r="H14" s="1635" t="s">
        <v>1824</v>
      </c>
      <c r="I14" s="2217" t="s">
        <v>2824</v>
      </c>
      <c r="J14" s="53">
        <f ca="1">C29</f>
        <v>15887</v>
      </c>
      <c r="K14" s="26"/>
      <c r="L14" s="801"/>
      <c r="M14" s="802"/>
    </row>
    <row r="15" spans="1:33" s="2050" customFormat="1" ht="18" customHeight="1" thickBot="1">
      <c r="A15" s="1634" t="s">
        <v>1832</v>
      </c>
      <c r="B15" s="784" t="s">
        <v>647</v>
      </c>
      <c r="C15" s="53">
        <f ca="1">ROUND(C14*F15,0)</f>
        <v>330</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452</v>
      </c>
      <c r="K16" s="1807" t="s">
        <v>652</v>
      </c>
      <c r="L16" s="3213"/>
      <c r="M16" s="2456"/>
    </row>
    <row r="17" spans="1:33" s="2050" customFormat="1" ht="18" customHeight="1">
      <c r="A17" s="1634" t="s">
        <v>1887</v>
      </c>
      <c r="B17" s="784" t="s">
        <v>653</v>
      </c>
      <c r="C17" s="53">
        <f ca="1">ROUND(F17*(F43+INDIRECT("'数据-取费表'!S"&amp;$G$1))/10000,0)</f>
        <v>1047</v>
      </c>
      <c r="D17" s="784" t="s">
        <v>654</v>
      </c>
      <c r="E17" s="784" t="s">
        <v>655</v>
      </c>
      <c r="F17" s="56">
        <f>'数据-取费表'!B35</f>
        <v>200</v>
      </c>
      <c r="G17" s="1580"/>
      <c r="H17" s="1635" t="s">
        <v>1824</v>
      </c>
      <c r="I17" s="784" t="s">
        <v>656</v>
      </c>
      <c r="J17" s="53">
        <f ca="1">ROUND(IF(项目基本情况!B11="自然人",J5*M17,J18+J19+J20),0)</f>
        <v>134</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165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12538</v>
      </c>
      <c r="D19" s="261" t="s">
        <v>663</v>
      </c>
      <c r="E19" s="3215"/>
      <c r="F19" s="56"/>
      <c r="G19" s="1579"/>
      <c r="H19" s="1634" t="s">
        <v>1832</v>
      </c>
      <c r="I19" s="784" t="s">
        <v>664</v>
      </c>
      <c r="J19" s="53">
        <f ca="1">IF(K19="按租金收入计税",ROUND(J5*M19,1),ROUND(C29*F33*0.7,1))</f>
        <v>133.5</v>
      </c>
      <c r="K19" s="811" t="s">
        <v>665</v>
      </c>
      <c r="L19" s="784" t="s">
        <v>649</v>
      </c>
      <c r="M19" s="809">
        <f>IF(K19="按租金收入计税",'数据-取费表'!B51,'数据-取费表'!B50)</f>
        <v>1.2E-2</v>
      </c>
    </row>
    <row r="20" spans="1:33" s="2050" customFormat="1" ht="18" customHeight="1">
      <c r="A20" s="1635" t="s">
        <v>1889</v>
      </c>
      <c r="B20" s="784" t="s">
        <v>666</v>
      </c>
      <c r="C20" s="53">
        <f ca="1">ROUND(C19*F20,0)</f>
        <v>251</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318</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607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2821</v>
      </c>
      <c r="J25" s="792">
        <f ca="1">J5-J16</f>
        <v>-452</v>
      </c>
      <c r="K25" s="2513" t="s">
        <v>1777</v>
      </c>
      <c r="L25" s="2514"/>
      <c r="M25" s="2515"/>
    </row>
    <row r="26" spans="1:33" ht="18" customHeight="1">
      <c r="A26" s="1634" t="s">
        <v>1831</v>
      </c>
      <c r="B26" s="784" t="s">
        <v>2438</v>
      </c>
      <c r="C26" s="53">
        <f ca="1">ROUND((C19+C20)*F26,0)</f>
        <v>1279</v>
      </c>
      <c r="D26" s="812" t="s">
        <v>1778</v>
      </c>
      <c r="E26" s="795" t="s">
        <v>702</v>
      </c>
      <c r="F26" s="794">
        <f ca="1">INDIRECT("'数据-取费表'!q"&amp;$G$1)</f>
        <v>0.1</v>
      </c>
      <c r="G26" s="1579"/>
      <c r="H26" s="2467" t="s">
        <v>1780</v>
      </c>
      <c r="I26" s="2218" t="s">
        <v>2826</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15887</v>
      </c>
      <c r="D29" s="2510"/>
      <c r="E29" s="2511"/>
      <c r="F29" s="2512"/>
      <c r="G29" s="1580"/>
      <c r="H29" s="823" t="s">
        <v>1787</v>
      </c>
      <c r="I29" s="824" t="s">
        <v>1788</v>
      </c>
      <c r="J29" s="825">
        <f ca="1">ROUND(J26/(1+F40)^F41,0)</f>
        <v>0</v>
      </c>
      <c r="K29" s="826" t="s">
        <v>688</v>
      </c>
      <c r="L29" s="827"/>
      <c r="M29" s="828">
        <f ca="1">INDIRECT("'数据-取费表'!k"&amp;$G$1)</f>
        <v>51281.989903754205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385</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25.7</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25.7</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3219</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1271</v>
      </c>
      <c r="K35" s="2064"/>
      <c r="L35" s="2063"/>
      <c r="M35" s="2063"/>
    </row>
    <row r="36" spans="1:18" ht="18" customHeight="1">
      <c r="A36" s="1635" t="s">
        <v>1889</v>
      </c>
      <c r="B36" s="784" t="s">
        <v>676</v>
      </c>
      <c r="C36" s="53">
        <f ca="1">ROUND(C29*F36,1)</f>
        <v>317.7</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31.8</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9.6</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2821</v>
      </c>
      <c r="C39" s="792">
        <f ca="1">C5-C30</f>
        <v>96</v>
      </c>
      <c r="D39" s="2513" t="s">
        <v>1777</v>
      </c>
      <c r="E39" s="2514"/>
      <c r="F39" s="2515"/>
      <c r="G39" s="2048"/>
      <c r="H39" s="2063"/>
      <c r="I39" s="837" t="s">
        <v>1818</v>
      </c>
      <c r="J39" s="845">
        <f ca="1">ROUND(J35/C39,3)</f>
        <v>13.24</v>
      </c>
      <c r="K39" s="2069"/>
      <c r="L39" s="2063"/>
      <c r="M39" s="2063"/>
    </row>
    <row r="40" spans="1:18" ht="18" customHeight="1">
      <c r="A40" s="781" t="s">
        <v>1780</v>
      </c>
      <c r="B40" s="2218" t="s">
        <v>2301</v>
      </c>
      <c r="C40" s="783">
        <f ca="1">ROUND(C39*(1-((1+F42)/(1+F40))^F41)/(F40-F42),0)</f>
        <v>1897</v>
      </c>
      <c r="D40" s="814" t="s">
        <v>704</v>
      </c>
      <c r="E40" s="784" t="s">
        <v>2419</v>
      </c>
      <c r="F40" s="794">
        <f ca="1">INDIRECT("'数据-取费表'!I"&amp;$G$1)</f>
        <v>4.4999999999999998E-2</v>
      </c>
      <c r="G40" s="2048"/>
      <c r="H40" s="2048"/>
      <c r="I40" s="837" t="s">
        <v>1819</v>
      </c>
      <c r="J40" s="845">
        <f ca="1">1-J39</f>
        <v>-12.24</v>
      </c>
      <c r="K40" s="2069"/>
      <c r="L40" s="2048"/>
      <c r="M40" s="2048"/>
    </row>
    <row r="41" spans="1:18" ht="18" customHeight="1">
      <c r="A41" s="786"/>
      <c r="B41" s="787"/>
      <c r="C41" s="788"/>
      <c r="D41" s="821" t="s">
        <v>1808</v>
      </c>
      <c r="E41" s="784" t="s">
        <v>708</v>
      </c>
      <c r="F41" s="822">
        <f ca="1">IF(INDIRECT("'数据-取费表'!af"&amp;$G$1)=0,INDIRECT("'数据-取费表'!ae"&amp;$G$1),INDIRECT("'数据-取费表'!af"&amp;$G$1))</f>
        <v>50</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8.375</v>
      </c>
      <c r="K42" s="2068"/>
      <c r="L42" s="1974"/>
      <c r="M42" s="1974"/>
    </row>
    <row r="43" spans="1:18" ht="18" customHeight="1" thickBot="1">
      <c r="A43" s="823" t="s">
        <v>1787</v>
      </c>
      <c r="B43" s="824" t="s">
        <v>1810</v>
      </c>
      <c r="C43" s="825">
        <f ca="1">ROUND(C40*10000/F43,0)</f>
        <v>370</v>
      </c>
      <c r="D43" s="826" t="s">
        <v>1811</v>
      </c>
      <c r="E43" s="827" t="s">
        <v>1812</v>
      </c>
      <c r="F43" s="828">
        <f ca="1">INDIRECT("'数据-取费表'!k"&amp;$G$1)</f>
        <v>51281.989903754205</v>
      </c>
      <c r="G43" s="2048"/>
      <c r="H43" s="1974"/>
      <c r="I43" s="847" t="s">
        <v>1822</v>
      </c>
      <c r="J43" s="848">
        <f ca="1">1-J42</f>
        <v>-7.375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-8814</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2537</v>
      </c>
      <c r="C48" s="2339">
        <f ca="1">ROUND(F48*F50*F49*(1-F51)/10000,0)</f>
        <v>0</v>
      </c>
      <c r="D48" s="2340" t="s">
        <v>636</v>
      </c>
      <c r="E48" s="2341" t="s">
        <v>2296</v>
      </c>
      <c r="F48" s="2342"/>
      <c r="G48" s="2076"/>
      <c r="I48" s="3079" t="s">
        <v>2345</v>
      </c>
      <c r="J48" s="2347" t="s">
        <v>2350</v>
      </c>
      <c r="K48" s="3108" t="s">
        <v>2351</v>
      </c>
      <c r="L48" s="1894">
        <f ca="1">INDIRECT("'数据-取费表'!f"&amp;$G$1)</f>
        <v>50</v>
      </c>
      <c r="O48" s="2363" t="s">
        <v>2379</v>
      </c>
      <c r="P48" s="2364" t="s">
        <v>2405</v>
      </c>
      <c r="Q48" s="2365">
        <f ca="1">C40+J29</f>
        <v>1897</v>
      </c>
      <c r="R48" s="2364" t="s">
        <v>2380</v>
      </c>
    </row>
    <row r="49" spans="1:18" s="2045" customFormat="1" ht="18" customHeight="1" thickBot="1">
      <c r="A49" s="786"/>
      <c r="B49" s="787"/>
      <c r="C49" s="788"/>
      <c r="D49" s="789"/>
      <c r="E49" s="784" t="s">
        <v>638</v>
      </c>
      <c r="F49" s="785">
        <f ca="1">F7</f>
        <v>51281.989903754205</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15887</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-25241</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2974</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50</v>
      </c>
      <c r="K53" s="3493" t="s">
        <v>2966</v>
      </c>
      <c r="L53" s="3494"/>
      <c r="O53" s="2366" t="s">
        <v>2388</v>
      </c>
      <c r="P53" s="2364" t="s">
        <v>2389</v>
      </c>
      <c r="Q53" s="2365">
        <f ca="1">J53</f>
        <v>50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1897</v>
      </c>
      <c r="R54" s="2368" t="s">
        <v>2392</v>
      </c>
    </row>
    <row r="55" spans="1:18" s="2045" customFormat="1" ht="18" customHeight="1" thickTop="1" thickBot="1">
      <c r="A55" s="797">
        <v>2</v>
      </c>
      <c r="B55" s="798" t="s">
        <v>644</v>
      </c>
      <c r="C55" s="799">
        <f ca="1">C13</f>
        <v>15887</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15887</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350</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1897</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0</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317.7</v>
      </c>
      <c r="D63" s="3210" t="s">
        <v>691</v>
      </c>
      <c r="E63" s="784" t="s">
        <v>649</v>
      </c>
      <c r="F63" s="817">
        <f t="shared" ca="1" si="0"/>
        <v>0.02</v>
      </c>
      <c r="I63" s="3123" t="s">
        <v>2370</v>
      </c>
      <c r="J63" s="3124">
        <v>70</v>
      </c>
      <c r="K63" s="3124">
        <v>50</v>
      </c>
      <c r="L63" s="3124">
        <v>80</v>
      </c>
      <c r="M63" s="3126">
        <v>0.02</v>
      </c>
      <c r="O63" s="2363" t="s">
        <v>2391</v>
      </c>
      <c r="P63" s="2364" t="s">
        <v>2408</v>
      </c>
      <c r="Q63" s="2365">
        <f ca="1">Q57+Q58</f>
        <v>1897</v>
      </c>
      <c r="R63" s="2368" t="s">
        <v>2392</v>
      </c>
    </row>
    <row r="64" spans="1:18" s="2045" customFormat="1" ht="16.2" thickBot="1">
      <c r="A64" s="1635" t="s">
        <v>1890</v>
      </c>
      <c r="B64" s="784" t="s">
        <v>679</v>
      </c>
      <c r="C64" s="53">
        <f ca="1">ROUND(C55*F64,1)</f>
        <v>31.8</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-350</v>
      </c>
      <c r="D66" s="3211" t="s">
        <v>700</v>
      </c>
      <c r="E66" s="3214"/>
      <c r="F66" s="820"/>
      <c r="K66" s="2072"/>
      <c r="O66" s="2363" t="s">
        <v>2379</v>
      </c>
      <c r="P66" s="2364" t="s">
        <v>2405</v>
      </c>
      <c r="Q66" s="2365">
        <f ca="1">C40+J29</f>
        <v>1897</v>
      </c>
      <c r="R66" s="2364" t="s">
        <v>2380</v>
      </c>
    </row>
    <row r="67" spans="1:18" s="2045" customFormat="1" ht="19.2" thickBot="1">
      <c r="A67" s="781" t="s">
        <v>1780</v>
      </c>
      <c r="B67" s="2218" t="s">
        <v>2301</v>
      </c>
      <c r="C67" s="783">
        <f ca="1">ROUND(C66*(1-((1+F69)/(1+F67))^F68)/(F67-F69),0)</f>
        <v>-6917</v>
      </c>
      <c r="D67" s="814" t="s">
        <v>704</v>
      </c>
      <c r="E67" s="784" t="s">
        <v>705</v>
      </c>
      <c r="F67" s="794">
        <f ca="1">F40</f>
        <v>4.4999999999999998E-2</v>
      </c>
      <c r="K67" s="2072"/>
      <c r="O67" s="2363" t="s">
        <v>2381</v>
      </c>
      <c r="P67" s="2364" t="s">
        <v>2412</v>
      </c>
      <c r="Q67" s="2365">
        <f ca="1">L60</f>
        <v>0</v>
      </c>
      <c r="R67" s="2368" t="s">
        <v>2414</v>
      </c>
    </row>
    <row r="68" spans="1:18" ht="20.399999999999999" thickBot="1">
      <c r="A68" s="786"/>
      <c r="B68" s="787"/>
      <c r="C68" s="788"/>
      <c r="D68" s="821" t="s">
        <v>1808</v>
      </c>
      <c r="E68" s="784" t="s">
        <v>708</v>
      </c>
      <c r="F68" s="822">
        <f ca="1">F41</f>
        <v>50</v>
      </c>
      <c r="O68" s="2366" t="s">
        <v>2383</v>
      </c>
      <c r="P68" s="2364" t="s">
        <v>2413</v>
      </c>
      <c r="Q68" s="2370">
        <f ca="1">L51</f>
        <v>-25241</v>
      </c>
      <c r="R68" s="2371" t="s">
        <v>2416</v>
      </c>
    </row>
    <row r="69" spans="1:18" ht="19.2" thickBot="1">
      <c r="A69" s="790"/>
      <c r="B69" s="791"/>
      <c r="C69" s="792"/>
      <c r="D69" s="816"/>
      <c r="E69" s="784" t="s">
        <v>710</v>
      </c>
      <c r="F69" s="2336"/>
      <c r="O69" s="2366" t="s">
        <v>2384</v>
      </c>
      <c r="P69" s="2372" t="s">
        <v>2398</v>
      </c>
      <c r="Q69" s="2365">
        <f ca="1">ROUND(Q70-Q71*Q72,0)</f>
        <v>-1175</v>
      </c>
      <c r="R69" s="2368"/>
    </row>
    <row r="70" spans="1:18" ht="16.2" thickBot="1">
      <c r="A70" s="823" t="s">
        <v>1787</v>
      </c>
      <c r="B70" s="824" t="s">
        <v>1810</v>
      </c>
      <c r="C70" s="825">
        <f ca="1">ROUND(C67*10000/F70,0)</f>
        <v>-1349</v>
      </c>
      <c r="D70" s="826" t="s">
        <v>1811</v>
      </c>
      <c r="E70" s="827" t="s">
        <v>1812</v>
      </c>
      <c r="F70" s="828">
        <f ca="1">F43</f>
        <v>51281.989903754205</v>
      </c>
      <c r="O70" s="2366" t="s">
        <v>2399</v>
      </c>
      <c r="P70" s="2372" t="s">
        <v>2400</v>
      </c>
      <c r="Q70" s="2365">
        <f ca="1">C39</f>
        <v>96</v>
      </c>
      <c r="R70" s="2364" t="s">
        <v>2380</v>
      </c>
    </row>
    <row r="71" spans="1:18" ht="16.2" thickBot="1">
      <c r="O71" s="2366" t="s">
        <v>2401</v>
      </c>
      <c r="P71" s="2372" t="s">
        <v>2402</v>
      </c>
      <c r="Q71" s="2365">
        <f ca="1">C13</f>
        <v>15887</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1897</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4.4"/>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F39" sqref="F39"/>
    </sheetView>
  </sheetViews>
  <sheetFormatPr defaultRowHeight="14.4"/>
  <cols>
    <col min="1" max="1" width="34" customWidth="1"/>
    <col min="3" max="3" width="15.88671875" customWidth="1"/>
    <col min="6" max="6" width="14.6640625" customWidth="1"/>
    <col min="8" max="8" width="14.88671875" customWidth="1"/>
  </cols>
  <sheetData>
    <row r="1" spans="1:15">
      <c r="A1" s="2895" t="s">
        <v>3017</v>
      </c>
      <c r="B1" s="2895" t="s">
        <v>3018</v>
      </c>
      <c r="C1" s="2895" t="s">
        <v>3019</v>
      </c>
      <c r="D1" s="2895" t="s">
        <v>3020</v>
      </c>
      <c r="E1" s="2895" t="s">
        <v>3021</v>
      </c>
      <c r="F1" s="2895" t="s">
        <v>2032</v>
      </c>
      <c r="G1" s="2895" t="s">
        <v>3022</v>
      </c>
      <c r="H1" s="2895" t="s">
        <v>3023</v>
      </c>
      <c r="I1" s="2895" t="s">
        <v>3024</v>
      </c>
      <c r="J1" s="2895" t="s">
        <v>3025</v>
      </c>
      <c r="K1" s="2895" t="s">
        <v>3026</v>
      </c>
      <c r="L1" s="2895" t="s">
        <v>3027</v>
      </c>
      <c r="M1" s="2895" t="s">
        <v>3028</v>
      </c>
      <c r="N1" s="2895" t="s">
        <v>3029</v>
      </c>
    </row>
    <row r="2" spans="1:15">
      <c r="A2" s="2895" t="s">
        <v>3030</v>
      </c>
      <c r="B2" s="2895" t="s">
        <v>3031</v>
      </c>
      <c r="C2" s="2895" t="s">
        <v>3032</v>
      </c>
      <c r="D2" s="2895">
        <v>1939</v>
      </c>
      <c r="E2" s="2895">
        <v>7329.42</v>
      </c>
      <c r="F2" s="2895" t="s">
        <v>3033</v>
      </c>
      <c r="G2" s="2895" t="s">
        <v>3034</v>
      </c>
      <c r="H2" s="2895" t="s">
        <v>3035</v>
      </c>
      <c r="I2" s="2895">
        <v>10600</v>
      </c>
      <c r="J2" s="2895">
        <v>10600</v>
      </c>
      <c r="K2" s="2895">
        <v>14462.26</v>
      </c>
      <c r="L2" s="2895">
        <v>0</v>
      </c>
      <c r="M2" s="2895" t="s">
        <v>3036</v>
      </c>
      <c r="N2" s="2895" t="s">
        <v>3037</v>
      </c>
    </row>
    <row r="3" spans="1:15" s="3186" customFormat="1">
      <c r="A3" s="3185" t="s">
        <v>3038</v>
      </c>
      <c r="B3" s="3185" t="s">
        <v>3031</v>
      </c>
      <c r="C3" s="3185" t="s">
        <v>3032</v>
      </c>
      <c r="D3" s="3185">
        <v>62051</v>
      </c>
      <c r="E3" s="3185">
        <v>308100</v>
      </c>
      <c r="F3" s="3185" t="s">
        <v>3039</v>
      </c>
      <c r="G3" s="3185" t="s">
        <v>3034</v>
      </c>
      <c r="H3" s="3185" t="s">
        <v>3040</v>
      </c>
      <c r="I3" s="3185">
        <v>240700</v>
      </c>
      <c r="J3" s="3185">
        <v>240700</v>
      </c>
      <c r="K3" s="3185">
        <v>7812.39</v>
      </c>
      <c r="L3" s="3185">
        <v>0</v>
      </c>
      <c r="M3" s="3185" t="s">
        <v>3041</v>
      </c>
      <c r="N3" s="3185" t="s">
        <v>3037</v>
      </c>
      <c r="O3" s="3188" t="s">
        <v>3142</v>
      </c>
    </row>
    <row r="4" spans="1:15">
      <c r="A4" s="2895" t="s">
        <v>3042</v>
      </c>
      <c r="B4" s="2895" t="s">
        <v>3031</v>
      </c>
      <c r="C4" s="2895" t="s">
        <v>3032</v>
      </c>
      <c r="D4" s="2895">
        <v>57200</v>
      </c>
      <c r="E4" s="2895">
        <v>141200</v>
      </c>
      <c r="F4" s="2895" t="s">
        <v>3043</v>
      </c>
      <c r="G4" s="2895" t="s">
        <v>3034</v>
      </c>
      <c r="H4" s="2895" t="s">
        <v>3044</v>
      </c>
      <c r="I4" s="2895">
        <v>87700</v>
      </c>
      <c r="J4" s="2895">
        <v>94500</v>
      </c>
      <c r="K4" s="2895">
        <v>6692.63</v>
      </c>
      <c r="L4" s="2895">
        <v>7.75</v>
      </c>
      <c r="M4" s="2895" t="s">
        <v>3045</v>
      </c>
      <c r="N4" s="2895" t="s">
        <v>3046</v>
      </c>
    </row>
    <row r="5" spans="1:15">
      <c r="A5" s="2895" t="s">
        <v>3047</v>
      </c>
      <c r="B5" s="2895" t="s">
        <v>3031</v>
      </c>
      <c r="C5" s="2895" t="s">
        <v>3032</v>
      </c>
      <c r="D5" s="2895">
        <v>162629</v>
      </c>
      <c r="E5" s="2895">
        <v>876600</v>
      </c>
      <c r="F5" s="2895" t="s">
        <v>3048</v>
      </c>
      <c r="G5" s="2895" t="s">
        <v>3034</v>
      </c>
      <c r="H5" s="2895" t="s">
        <v>3049</v>
      </c>
      <c r="I5" s="2895">
        <v>520000</v>
      </c>
      <c r="J5" s="2895">
        <v>520000</v>
      </c>
      <c r="K5" s="2895">
        <v>5932.01</v>
      </c>
      <c r="L5" s="2895">
        <v>0</v>
      </c>
      <c r="M5" s="2895" t="s">
        <v>3050</v>
      </c>
      <c r="N5" s="2895" t="s">
        <v>3046</v>
      </c>
    </row>
    <row r="6" spans="1:15" s="3218" customFormat="1">
      <c r="A6" s="3216" t="s">
        <v>3051</v>
      </c>
      <c r="B6" s="3216" t="s">
        <v>3031</v>
      </c>
      <c r="C6" s="3216" t="s">
        <v>3032</v>
      </c>
      <c r="D6" s="3216">
        <v>15200</v>
      </c>
      <c r="E6" s="3216">
        <v>45600</v>
      </c>
      <c r="F6" s="3216">
        <v>3</v>
      </c>
      <c r="G6" s="3216" t="s">
        <v>3034</v>
      </c>
      <c r="H6" s="3216" t="s">
        <v>3052</v>
      </c>
      <c r="I6" s="3216">
        <v>32200</v>
      </c>
      <c r="J6" s="3216">
        <v>32600</v>
      </c>
      <c r="K6" s="3216">
        <v>7149.11</v>
      </c>
      <c r="L6" s="3216">
        <v>1.24</v>
      </c>
      <c r="M6" s="3216" t="s">
        <v>3053</v>
      </c>
      <c r="N6" s="3216" t="s">
        <v>3046</v>
      </c>
      <c r="O6" s="3217" t="s">
        <v>3143</v>
      </c>
    </row>
    <row r="7" spans="1:15">
      <c r="A7" s="2895" t="s">
        <v>3054</v>
      </c>
      <c r="B7" s="2895" t="s">
        <v>3031</v>
      </c>
      <c r="C7" s="2895" t="s">
        <v>3032</v>
      </c>
      <c r="D7" s="2895">
        <v>156790</v>
      </c>
      <c r="E7" s="2895">
        <v>538800</v>
      </c>
      <c r="F7" s="2895" t="s">
        <v>3055</v>
      </c>
      <c r="G7" s="2895" t="s">
        <v>3034</v>
      </c>
      <c r="H7" s="2895" t="s">
        <v>3056</v>
      </c>
      <c r="I7" s="2895">
        <v>161810</v>
      </c>
      <c r="J7" s="2895">
        <v>161810</v>
      </c>
      <c r="K7" s="2895">
        <v>3003.15</v>
      </c>
      <c r="L7" s="2895">
        <v>0</v>
      </c>
      <c r="M7" s="2895" t="s">
        <v>3057</v>
      </c>
      <c r="N7" s="2895" t="s">
        <v>3058</v>
      </c>
    </row>
    <row r="8" spans="1:15">
      <c r="A8" s="2895" t="s">
        <v>3059</v>
      </c>
      <c r="B8" s="2895" t="s">
        <v>3031</v>
      </c>
      <c r="C8" s="2895" t="s">
        <v>3032</v>
      </c>
      <c r="D8" s="2895">
        <v>184611</v>
      </c>
      <c r="E8" s="2895">
        <v>622100</v>
      </c>
      <c r="F8" s="2895">
        <v>3.37</v>
      </c>
      <c r="G8" s="2895" t="s">
        <v>3034</v>
      </c>
      <c r="H8" s="2895" t="s">
        <v>3056</v>
      </c>
      <c r="I8" s="2895">
        <v>186800</v>
      </c>
      <c r="J8" s="2895">
        <v>186800</v>
      </c>
      <c r="K8" s="2895">
        <v>3002.73</v>
      </c>
      <c r="L8" s="2895">
        <v>0</v>
      </c>
      <c r="M8" s="2895" t="s">
        <v>3057</v>
      </c>
      <c r="N8" s="2895" t="s">
        <v>3058</v>
      </c>
    </row>
    <row r="9" spans="1:15">
      <c r="A9" s="2895" t="s">
        <v>3060</v>
      </c>
      <c r="B9" s="2895" t="s">
        <v>3031</v>
      </c>
      <c r="C9" s="2895" t="s">
        <v>3032</v>
      </c>
      <c r="D9" s="2895">
        <v>59917</v>
      </c>
      <c r="E9" s="2895">
        <v>287500</v>
      </c>
      <c r="F9" s="2895">
        <v>4.8</v>
      </c>
      <c r="G9" s="2895" t="s">
        <v>3034</v>
      </c>
      <c r="H9" s="2895" t="s">
        <v>3056</v>
      </c>
      <c r="I9" s="2895">
        <v>195890</v>
      </c>
      <c r="J9" s="2895">
        <v>195890</v>
      </c>
      <c r="K9" s="2895">
        <v>6813.56</v>
      </c>
      <c r="L9" s="2895">
        <v>0</v>
      </c>
      <c r="M9" s="2895" t="s">
        <v>3061</v>
      </c>
      <c r="N9" s="2895" t="s">
        <v>3037</v>
      </c>
    </row>
    <row r="10" spans="1:15">
      <c r="A10" s="2895" t="s">
        <v>3062</v>
      </c>
      <c r="B10" s="2895" t="s">
        <v>3031</v>
      </c>
      <c r="C10" s="2895" t="s">
        <v>3032</v>
      </c>
      <c r="D10" s="2895">
        <v>84990</v>
      </c>
      <c r="E10" s="2895">
        <v>260200</v>
      </c>
      <c r="F10" s="2895" t="s">
        <v>3063</v>
      </c>
      <c r="G10" s="2895" t="s">
        <v>3034</v>
      </c>
      <c r="H10" s="2895" t="s">
        <v>3056</v>
      </c>
      <c r="I10" s="2895">
        <v>90830</v>
      </c>
      <c r="J10" s="2895">
        <v>90830</v>
      </c>
      <c r="K10" s="2895">
        <v>3490.78</v>
      </c>
      <c r="L10" s="2895">
        <v>0</v>
      </c>
      <c r="M10" s="2895" t="s">
        <v>3064</v>
      </c>
      <c r="N10" s="2895" t="s">
        <v>3046</v>
      </c>
    </row>
    <row r="11" spans="1:15">
      <c r="A11" s="2895" t="s">
        <v>3065</v>
      </c>
      <c r="B11" s="2895" t="s">
        <v>3031</v>
      </c>
      <c r="C11" s="2895" t="s">
        <v>3032</v>
      </c>
      <c r="D11" s="2895">
        <v>138390</v>
      </c>
      <c r="E11" s="2895">
        <v>548400</v>
      </c>
      <c r="F11" s="2895">
        <v>3.96</v>
      </c>
      <c r="G11" s="2895" t="s">
        <v>3034</v>
      </c>
      <c r="H11" s="2895" t="s">
        <v>3066</v>
      </c>
      <c r="I11" s="2895">
        <v>270350.78999999998</v>
      </c>
      <c r="J11" s="2895">
        <v>270350.78999999998</v>
      </c>
      <c r="K11" s="2895">
        <v>4929.8100000000004</v>
      </c>
      <c r="L11" s="2895">
        <v>0</v>
      </c>
      <c r="M11" s="2895" t="s">
        <v>3067</v>
      </c>
      <c r="N11" s="2895" t="s">
        <v>3046</v>
      </c>
    </row>
    <row r="12" spans="1:15">
      <c r="A12" s="2895" t="s">
        <v>3068</v>
      </c>
      <c r="B12" s="2895" t="s">
        <v>3031</v>
      </c>
      <c r="C12" s="2895" t="s">
        <v>3032</v>
      </c>
      <c r="D12" s="2895">
        <v>66060</v>
      </c>
      <c r="E12" s="2895">
        <v>290400</v>
      </c>
      <c r="F12" s="2895" t="s">
        <v>3069</v>
      </c>
      <c r="G12" s="2895" t="s">
        <v>3034</v>
      </c>
      <c r="H12" s="2895" t="s">
        <v>3066</v>
      </c>
      <c r="I12" s="2895">
        <v>143167.20000000001</v>
      </c>
      <c r="J12" s="2895">
        <v>143167.20000000001</v>
      </c>
      <c r="K12" s="2895">
        <v>4930</v>
      </c>
      <c r="L12" s="2895">
        <v>0</v>
      </c>
      <c r="M12" s="2895" t="s">
        <v>3070</v>
      </c>
      <c r="N12" s="2895" t="s">
        <v>3046</v>
      </c>
    </row>
    <row r="13" spans="1:15" s="3186" customFormat="1">
      <c r="A13" s="3185" t="s">
        <v>3071</v>
      </c>
      <c r="B13" s="3185" t="s">
        <v>3031</v>
      </c>
      <c r="C13" s="3185" t="s">
        <v>3072</v>
      </c>
      <c r="D13" s="3185">
        <v>183130</v>
      </c>
      <c r="E13" s="3185">
        <v>475980.4</v>
      </c>
      <c r="F13" s="3185" t="s">
        <v>3073</v>
      </c>
      <c r="G13" s="3185" t="s">
        <v>3034</v>
      </c>
      <c r="H13" s="3185" t="s">
        <v>3074</v>
      </c>
      <c r="I13" s="3185">
        <v>368742</v>
      </c>
      <c r="J13" s="3185">
        <v>368742</v>
      </c>
      <c r="K13" s="3185">
        <v>7747</v>
      </c>
      <c r="L13" s="3185">
        <v>0</v>
      </c>
      <c r="M13" s="3185" t="s">
        <v>3075</v>
      </c>
      <c r="N13" s="3185" t="s">
        <v>3046</v>
      </c>
    </row>
    <row r="14" spans="1:15">
      <c r="A14" s="2895" t="s">
        <v>3076</v>
      </c>
      <c r="B14" s="2895" t="s">
        <v>3031</v>
      </c>
      <c r="C14" s="2895" t="s">
        <v>3032</v>
      </c>
      <c r="D14" s="2895">
        <v>174950</v>
      </c>
      <c r="E14" s="2895">
        <v>600078.5</v>
      </c>
      <c r="F14" s="2895">
        <v>3.43</v>
      </c>
      <c r="G14" s="2895" t="s">
        <v>3034</v>
      </c>
      <c r="H14" s="2895" t="s">
        <v>3074</v>
      </c>
      <c r="I14" s="2895">
        <v>391730</v>
      </c>
      <c r="J14" s="2895">
        <v>391730</v>
      </c>
      <c r="K14" s="2895">
        <v>6527.97</v>
      </c>
      <c r="L14" s="2895">
        <v>0</v>
      </c>
      <c r="M14" s="2895" t="s">
        <v>3077</v>
      </c>
      <c r="N14" s="2895" t="s">
        <v>3046</v>
      </c>
    </row>
    <row r="15" spans="1:15">
      <c r="A15" s="2895" t="s">
        <v>3078</v>
      </c>
      <c r="B15" s="2895" t="s">
        <v>3031</v>
      </c>
      <c r="C15" s="2895" t="s">
        <v>3072</v>
      </c>
      <c r="D15" s="2895">
        <v>55990</v>
      </c>
      <c r="E15" s="2895">
        <v>134376</v>
      </c>
      <c r="F15" s="2895">
        <v>2.4</v>
      </c>
      <c r="G15" s="2895" t="s">
        <v>3034</v>
      </c>
      <c r="H15" s="2895" t="s">
        <v>3079</v>
      </c>
      <c r="I15" s="2895">
        <v>70600</v>
      </c>
      <c r="J15" s="2895">
        <v>112840</v>
      </c>
      <c r="K15" s="2895">
        <v>8397.32</v>
      </c>
      <c r="L15" s="2895">
        <v>59.83</v>
      </c>
      <c r="M15" s="2895" t="s">
        <v>3080</v>
      </c>
      <c r="N15" s="2895" t="s">
        <v>3046</v>
      </c>
    </row>
    <row r="16" spans="1:15" s="3186" customFormat="1">
      <c r="A16" s="3230" t="s">
        <v>3207</v>
      </c>
      <c r="B16" s="3185" t="s">
        <v>3031</v>
      </c>
      <c r="C16" s="3185" t="s">
        <v>3072</v>
      </c>
      <c r="D16" s="3185">
        <v>95433</v>
      </c>
      <c r="E16" s="3185">
        <v>238582.5</v>
      </c>
      <c r="F16" s="3185">
        <v>2.5</v>
      </c>
      <c r="G16" s="3185" t="s">
        <v>3034</v>
      </c>
      <c r="H16" s="3185" t="s">
        <v>3079</v>
      </c>
      <c r="I16" s="3185">
        <v>125300</v>
      </c>
      <c r="J16" s="3185">
        <v>200167</v>
      </c>
      <c r="K16" s="3185">
        <v>8389.84</v>
      </c>
      <c r="L16" s="3185">
        <v>59.75</v>
      </c>
      <c r="M16" s="3185" t="s">
        <v>3081</v>
      </c>
      <c r="N16" s="3185" t="s">
        <v>3046</v>
      </c>
    </row>
    <row r="17" spans="1:14">
      <c r="A17" s="2895" t="s">
        <v>3082</v>
      </c>
      <c r="B17" s="2895" t="s">
        <v>3031</v>
      </c>
      <c r="C17" s="2895" t="s">
        <v>3032</v>
      </c>
      <c r="D17" s="2895">
        <v>170580</v>
      </c>
      <c r="E17" s="2895">
        <v>423038.4</v>
      </c>
      <c r="F17" s="2895">
        <v>2.48</v>
      </c>
      <c r="G17" s="2895" t="s">
        <v>3034</v>
      </c>
      <c r="H17" s="2895" t="s">
        <v>3083</v>
      </c>
      <c r="I17" s="2895">
        <v>118000</v>
      </c>
      <c r="J17" s="2895">
        <v>118000</v>
      </c>
      <c r="K17" s="2895">
        <v>2789.34</v>
      </c>
      <c r="L17" s="2895">
        <v>0</v>
      </c>
      <c r="M17" s="2895" t="s">
        <v>3084</v>
      </c>
      <c r="N17" s="2895" t="s">
        <v>3085</v>
      </c>
    </row>
    <row r="18" spans="1:14">
      <c r="A18" s="2895" t="s">
        <v>3086</v>
      </c>
      <c r="B18" s="2895" t="s">
        <v>3031</v>
      </c>
      <c r="C18" s="2895" t="s">
        <v>3072</v>
      </c>
      <c r="D18" s="2895">
        <v>18800</v>
      </c>
      <c r="E18" s="2895">
        <v>56400</v>
      </c>
      <c r="F18" s="2895">
        <v>3</v>
      </c>
      <c r="G18" s="2895" t="s">
        <v>3034</v>
      </c>
      <c r="H18" s="2895" t="s">
        <v>3087</v>
      </c>
      <c r="I18" s="2895">
        <v>26000</v>
      </c>
      <c r="J18" s="2895">
        <v>26000</v>
      </c>
      <c r="K18" s="2895">
        <v>4609.93</v>
      </c>
      <c r="L18" s="2895">
        <v>0</v>
      </c>
      <c r="M18" s="2895" t="s">
        <v>3088</v>
      </c>
      <c r="N18" s="2895" t="s">
        <v>3046</v>
      </c>
    </row>
    <row r="19" spans="1:14">
      <c r="A19" s="2895" t="s">
        <v>3089</v>
      </c>
      <c r="B19" s="2895" t="s">
        <v>3031</v>
      </c>
      <c r="C19" s="2895" t="s">
        <v>3032</v>
      </c>
      <c r="D19" s="2895">
        <v>140886</v>
      </c>
      <c r="E19" s="2895">
        <v>324200</v>
      </c>
      <c r="F19" s="2895">
        <v>2.2999999999999998</v>
      </c>
      <c r="G19" s="2895" t="s">
        <v>3034</v>
      </c>
      <c r="H19" s="2895" t="s">
        <v>3087</v>
      </c>
      <c r="I19" s="2895">
        <v>194520</v>
      </c>
      <c r="J19" s="2895">
        <v>195520</v>
      </c>
      <c r="K19" s="2895">
        <v>6030.85</v>
      </c>
      <c r="L19" s="2895">
        <v>0.51</v>
      </c>
      <c r="M19" s="2895" t="s">
        <v>3090</v>
      </c>
      <c r="N19" s="2895" t="s">
        <v>3046</v>
      </c>
    </row>
    <row r="20" spans="1:14">
      <c r="A20" s="2895" t="s">
        <v>3091</v>
      </c>
      <c r="B20" s="2895" t="s">
        <v>3031</v>
      </c>
      <c r="C20" s="2895" t="s">
        <v>3032</v>
      </c>
      <c r="D20" s="2895">
        <v>121700</v>
      </c>
      <c r="E20" s="2895">
        <v>426000</v>
      </c>
      <c r="F20" s="2895">
        <v>3.5</v>
      </c>
      <c r="G20" s="2895" t="s">
        <v>3034</v>
      </c>
      <c r="H20" s="2895" t="s">
        <v>3087</v>
      </c>
      <c r="I20" s="2895">
        <v>251000</v>
      </c>
      <c r="J20" s="2895">
        <v>386540</v>
      </c>
      <c r="K20" s="2895">
        <v>9073.7000000000007</v>
      </c>
      <c r="L20" s="2895">
        <v>54</v>
      </c>
      <c r="M20" s="2895" t="s">
        <v>3092</v>
      </c>
      <c r="N20" s="2895" t="s">
        <v>3037</v>
      </c>
    </row>
    <row r="21" spans="1:14" s="3218" customFormat="1">
      <c r="A21" s="3229" t="s">
        <v>3205</v>
      </c>
      <c r="B21" s="3216" t="s">
        <v>3031</v>
      </c>
      <c r="C21" s="3216" t="s">
        <v>3072</v>
      </c>
      <c r="D21" s="3216">
        <v>56309.69</v>
      </c>
      <c r="E21" s="3216">
        <v>178100</v>
      </c>
      <c r="F21" s="3216">
        <v>3.16</v>
      </c>
      <c r="G21" s="3216" t="s">
        <v>3034</v>
      </c>
      <c r="H21" s="3216" t="s">
        <v>3087</v>
      </c>
      <c r="I21" s="3216">
        <v>106860</v>
      </c>
      <c r="J21" s="3216">
        <v>133860</v>
      </c>
      <c r="K21" s="3216">
        <v>7516</v>
      </c>
      <c r="L21" s="3216">
        <v>25.27</v>
      </c>
      <c r="M21" s="3216" t="s">
        <v>3090</v>
      </c>
      <c r="N21" s="3216" t="s">
        <v>3046</v>
      </c>
    </row>
    <row r="22" spans="1:14">
      <c r="A22" s="2895" t="s">
        <v>3093</v>
      </c>
      <c r="B22" s="2895" t="s">
        <v>3031</v>
      </c>
      <c r="C22" s="2895" t="s">
        <v>3072</v>
      </c>
      <c r="D22" s="2895">
        <v>162338.4</v>
      </c>
      <c r="E22" s="2895">
        <v>516500</v>
      </c>
      <c r="F22" s="2895" t="s">
        <v>3094</v>
      </c>
      <c r="G22" s="2895" t="s">
        <v>3034</v>
      </c>
      <c r="H22" s="2895" t="s">
        <v>3095</v>
      </c>
      <c r="I22" s="2895">
        <v>136820</v>
      </c>
      <c r="J22" s="2895">
        <v>136820</v>
      </c>
      <c r="K22" s="2895">
        <v>2648.98</v>
      </c>
      <c r="L22" s="2895">
        <v>0</v>
      </c>
      <c r="M22" s="2895" t="s">
        <v>3096</v>
      </c>
      <c r="N22" s="2895" t="s">
        <v>3085</v>
      </c>
    </row>
    <row r="23" spans="1:14">
      <c r="A23" s="2895" t="s">
        <v>3097</v>
      </c>
      <c r="B23" s="2895" t="s">
        <v>3031</v>
      </c>
      <c r="C23" s="2895" t="s">
        <v>3032</v>
      </c>
      <c r="D23" s="2895">
        <v>78219.360000000001</v>
      </c>
      <c r="E23" s="2895">
        <v>270700</v>
      </c>
      <c r="F23" s="2895" t="s">
        <v>3098</v>
      </c>
      <c r="G23" s="2895" t="s">
        <v>3034</v>
      </c>
      <c r="H23" s="2895" t="s">
        <v>3095</v>
      </c>
      <c r="I23" s="2895">
        <v>72160</v>
      </c>
      <c r="J23" s="2895">
        <v>72160</v>
      </c>
      <c r="K23" s="2895">
        <v>2665.67</v>
      </c>
      <c r="L23" s="2895">
        <v>0</v>
      </c>
      <c r="M23" s="2895" t="s">
        <v>3099</v>
      </c>
      <c r="N23" s="2895" t="s">
        <v>3085</v>
      </c>
    </row>
    <row r="24" spans="1:14">
      <c r="A24" s="2895" t="s">
        <v>3100</v>
      </c>
      <c r="B24" s="2895" t="s">
        <v>3031</v>
      </c>
      <c r="C24" s="2895" t="s">
        <v>3072</v>
      </c>
      <c r="D24" s="2895">
        <v>185546.6</v>
      </c>
      <c r="E24" s="2895">
        <v>556800</v>
      </c>
      <c r="F24" s="2895">
        <v>3</v>
      </c>
      <c r="G24" s="2895" t="s">
        <v>3034</v>
      </c>
      <c r="H24" s="2895" t="s">
        <v>3101</v>
      </c>
      <c r="I24" s="2895">
        <v>148670</v>
      </c>
      <c r="J24" s="2895">
        <v>148670</v>
      </c>
      <c r="K24" s="2895">
        <v>2670.07</v>
      </c>
      <c r="L24" s="2895">
        <v>0</v>
      </c>
      <c r="M24" s="2895" t="s">
        <v>3102</v>
      </c>
      <c r="N24" s="2895" t="s">
        <v>3046</v>
      </c>
    </row>
    <row r="25" spans="1:14">
      <c r="A25" s="2895" t="s">
        <v>3103</v>
      </c>
      <c r="B25" s="2895" t="s">
        <v>3031</v>
      </c>
      <c r="C25" s="2895" t="s">
        <v>3072</v>
      </c>
      <c r="D25" s="2895">
        <v>120420</v>
      </c>
      <c r="E25" s="2895">
        <v>353300</v>
      </c>
      <c r="F25" s="2895">
        <v>2.93</v>
      </c>
      <c r="G25" s="2895" t="s">
        <v>3034</v>
      </c>
      <c r="H25" s="2895" t="s">
        <v>3101</v>
      </c>
      <c r="I25" s="2895">
        <v>94340</v>
      </c>
      <c r="J25" s="2895">
        <v>94340</v>
      </c>
      <c r="K25" s="2895">
        <v>2670.25</v>
      </c>
      <c r="L25" s="2895">
        <v>0</v>
      </c>
      <c r="M25" s="2895" t="s">
        <v>3104</v>
      </c>
      <c r="N25" s="2895" t="s">
        <v>3085</v>
      </c>
    </row>
    <row r="26" spans="1:14">
      <c r="A26" s="2895" t="s">
        <v>3105</v>
      </c>
      <c r="B26" s="2895" t="s">
        <v>3031</v>
      </c>
      <c r="C26" s="2895" t="s">
        <v>3072</v>
      </c>
      <c r="D26" s="2895">
        <v>25907.63</v>
      </c>
      <c r="E26" s="2895">
        <v>77700</v>
      </c>
      <c r="F26" s="2895">
        <v>3</v>
      </c>
      <c r="G26" s="2895" t="s">
        <v>3034</v>
      </c>
      <c r="H26" s="2895" t="s">
        <v>3101</v>
      </c>
      <c r="I26" s="2895">
        <v>20740</v>
      </c>
      <c r="J26" s="2895">
        <v>20740</v>
      </c>
      <c r="K26" s="2895">
        <v>2669.23</v>
      </c>
      <c r="L26" s="2895">
        <v>0</v>
      </c>
      <c r="M26" s="2895" t="s">
        <v>3102</v>
      </c>
      <c r="N26" s="2895" t="s">
        <v>3046</v>
      </c>
    </row>
    <row r="27" spans="1:14">
      <c r="A27" s="2895" t="s">
        <v>3106</v>
      </c>
      <c r="B27" s="2895" t="s">
        <v>3031</v>
      </c>
      <c r="C27" s="2895" t="s">
        <v>3032</v>
      </c>
      <c r="D27" s="2895">
        <v>126524.5</v>
      </c>
      <c r="E27" s="2895">
        <v>427500</v>
      </c>
      <c r="F27" s="2895" t="s">
        <v>3107</v>
      </c>
      <c r="G27" s="2895" t="s">
        <v>3034</v>
      </c>
      <c r="H27" s="2895" t="s">
        <v>3101</v>
      </c>
      <c r="I27" s="2895">
        <v>116720</v>
      </c>
      <c r="J27" s="2895">
        <v>116720</v>
      </c>
      <c r="K27" s="2895">
        <v>2730.28</v>
      </c>
      <c r="L27" s="2895">
        <v>0</v>
      </c>
      <c r="M27" s="2895" t="s">
        <v>3104</v>
      </c>
      <c r="N27" s="2895" t="s">
        <v>3046</v>
      </c>
    </row>
    <row r="28" spans="1:14">
      <c r="A28" s="2895" t="s">
        <v>3108</v>
      </c>
      <c r="B28" s="2895" t="s">
        <v>3031</v>
      </c>
      <c r="C28" s="2895" t="s">
        <v>3072</v>
      </c>
      <c r="D28" s="2895">
        <v>106556.6</v>
      </c>
      <c r="E28" s="2895">
        <v>410242.8</v>
      </c>
      <c r="F28" s="2895">
        <v>3.85</v>
      </c>
      <c r="G28" s="2895" t="s">
        <v>3034</v>
      </c>
      <c r="H28" s="2895" t="s">
        <v>3109</v>
      </c>
      <c r="I28" s="2895">
        <v>88280</v>
      </c>
      <c r="J28" s="2895">
        <v>88280</v>
      </c>
      <c r="K28" s="2895">
        <v>2151.9</v>
      </c>
      <c r="L28" s="2895">
        <v>0</v>
      </c>
      <c r="M28" s="2895" t="s">
        <v>3110</v>
      </c>
      <c r="N28" s="2895" t="s">
        <v>3046</v>
      </c>
    </row>
    <row r="29" spans="1:14">
      <c r="A29" s="2895" t="s">
        <v>3111</v>
      </c>
      <c r="B29" s="2895" t="s">
        <v>3031</v>
      </c>
      <c r="C29" s="2895" t="s">
        <v>3072</v>
      </c>
      <c r="D29" s="2895">
        <v>174095.7</v>
      </c>
      <c r="E29" s="2895">
        <v>696474</v>
      </c>
      <c r="F29" s="2895" t="s">
        <v>3112</v>
      </c>
      <c r="G29" s="2895" t="s">
        <v>3034</v>
      </c>
      <c r="H29" s="2895" t="s">
        <v>3109</v>
      </c>
      <c r="I29" s="2895">
        <v>174120</v>
      </c>
      <c r="J29" s="2895">
        <v>174120</v>
      </c>
      <c r="K29" s="2895">
        <v>2500.0100000000002</v>
      </c>
      <c r="L29" s="2895">
        <v>0</v>
      </c>
      <c r="M29" s="2895" t="s">
        <v>3113</v>
      </c>
      <c r="N29" s="2895" t="s">
        <v>3046</v>
      </c>
    </row>
    <row r="30" spans="1:14">
      <c r="A30" s="2895" t="s">
        <v>3114</v>
      </c>
      <c r="B30" s="2895" t="s">
        <v>3031</v>
      </c>
      <c r="C30" s="2895" t="s">
        <v>3072</v>
      </c>
      <c r="D30" s="2895">
        <v>140670.6</v>
      </c>
      <c r="E30" s="2895">
        <v>637326</v>
      </c>
      <c r="F30" s="2895" t="s">
        <v>3115</v>
      </c>
      <c r="G30" s="2895" t="s">
        <v>3034</v>
      </c>
      <c r="H30" s="2895" t="s">
        <v>3109</v>
      </c>
      <c r="I30" s="2895">
        <v>271950</v>
      </c>
      <c r="J30" s="2895">
        <v>271950</v>
      </c>
      <c r="K30" s="2895">
        <v>4267.05</v>
      </c>
      <c r="L30" s="2895">
        <v>0</v>
      </c>
      <c r="M30" s="2895" t="s">
        <v>3116</v>
      </c>
      <c r="N30" s="2895" t="s">
        <v>3046</v>
      </c>
    </row>
    <row r="31" spans="1:14">
      <c r="A31" s="2895" t="s">
        <v>3117</v>
      </c>
      <c r="B31" s="2895" t="s">
        <v>3031</v>
      </c>
      <c r="C31" s="2895" t="s">
        <v>3032</v>
      </c>
      <c r="D31" s="2895">
        <v>133588.29999999999</v>
      </c>
      <c r="E31" s="2895">
        <v>465300</v>
      </c>
      <c r="F31" s="2895" t="s">
        <v>3118</v>
      </c>
      <c r="G31" s="2895" t="s">
        <v>3034</v>
      </c>
      <c r="H31" s="2895" t="s">
        <v>3119</v>
      </c>
      <c r="I31" s="2895">
        <v>97580</v>
      </c>
      <c r="J31" s="2895">
        <v>97580</v>
      </c>
      <c r="K31" s="2895">
        <v>2097.13</v>
      </c>
      <c r="L31" s="2895">
        <v>0</v>
      </c>
      <c r="M31" s="2895" t="s">
        <v>3120</v>
      </c>
      <c r="N31" s="2895" t="s">
        <v>3046</v>
      </c>
    </row>
    <row r="32" spans="1:14">
      <c r="A32" s="2895" t="s">
        <v>3121</v>
      </c>
      <c r="B32" s="2895" t="s">
        <v>3031</v>
      </c>
      <c r="C32" s="2895" t="s">
        <v>3072</v>
      </c>
      <c r="D32" s="2895">
        <v>97058.09</v>
      </c>
      <c r="E32" s="2895">
        <v>362100</v>
      </c>
      <c r="F32" s="2895">
        <v>3.73</v>
      </c>
      <c r="G32" s="2895" t="s">
        <v>3034</v>
      </c>
      <c r="H32" s="2895" t="s">
        <v>3119</v>
      </c>
      <c r="I32" s="2895">
        <v>75940</v>
      </c>
      <c r="J32" s="2895">
        <v>75940</v>
      </c>
      <c r="K32" s="2895">
        <v>2097.21</v>
      </c>
      <c r="L32" s="2895">
        <v>0</v>
      </c>
      <c r="M32" s="2895" t="s">
        <v>3120</v>
      </c>
      <c r="N32" s="2895" t="s">
        <v>3085</v>
      </c>
    </row>
    <row r="33" spans="1:14">
      <c r="A33" s="2895" t="s">
        <v>3122</v>
      </c>
      <c r="B33" s="2895" t="s">
        <v>3031</v>
      </c>
      <c r="C33" s="2895" t="s">
        <v>3032</v>
      </c>
      <c r="D33" s="2895">
        <v>111571</v>
      </c>
      <c r="E33" s="2895">
        <v>515000</v>
      </c>
      <c r="F33" s="2895" t="s">
        <v>3123</v>
      </c>
      <c r="G33" s="2895" t="s">
        <v>3034</v>
      </c>
      <c r="H33" s="2895" t="s">
        <v>3124</v>
      </c>
      <c r="I33" s="2895">
        <v>257500</v>
      </c>
      <c r="J33" s="2895">
        <v>735000</v>
      </c>
      <c r="K33" s="2895">
        <v>14271.84</v>
      </c>
      <c r="L33" s="2895">
        <v>185.44</v>
      </c>
      <c r="M33" s="2895" t="s">
        <v>3125</v>
      </c>
      <c r="N33" s="2895" t="s">
        <v>3085</v>
      </c>
    </row>
    <row r="34" spans="1:14">
      <c r="A34" s="2895" t="s">
        <v>3126</v>
      </c>
      <c r="B34" s="2895" t="s">
        <v>3031</v>
      </c>
      <c r="C34" s="2895" t="s">
        <v>3032</v>
      </c>
      <c r="D34" s="2895">
        <v>190022.1</v>
      </c>
      <c r="E34" s="2895">
        <v>471254.8</v>
      </c>
      <c r="F34" s="2895" t="s">
        <v>3127</v>
      </c>
      <c r="G34" s="2895" t="s">
        <v>3034</v>
      </c>
      <c r="H34" s="2895" t="s">
        <v>3128</v>
      </c>
      <c r="I34" s="2895">
        <v>95740</v>
      </c>
      <c r="J34" s="2895">
        <v>95740</v>
      </c>
      <c r="K34" s="2895">
        <v>2031.59</v>
      </c>
      <c r="L34" s="2895">
        <v>0</v>
      </c>
      <c r="M34" s="2895" t="s">
        <v>3129</v>
      </c>
      <c r="N34" s="2895" t="s">
        <v>3085</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Normal="100" workbookViewId="0">
      <selection activeCell="Q22" sqref="Q22"/>
    </sheetView>
  </sheetViews>
  <sheetFormatPr defaultRowHeight="14.4"/>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7" t="s">
        <v>2038</v>
      </c>
      <c r="B1" s="3237"/>
      <c r="C1" s="3237"/>
      <c r="D1" s="3237"/>
      <c r="E1" s="3237"/>
      <c r="F1" s="3237"/>
      <c r="G1" s="3237"/>
      <c r="H1" s="3237"/>
      <c r="I1" s="3237"/>
      <c r="J1" s="3237"/>
      <c r="K1" s="3237"/>
      <c r="L1" s="3237"/>
      <c r="M1" s="3237"/>
      <c r="N1" s="3237"/>
      <c r="O1" s="3237"/>
      <c r="P1" s="3237"/>
      <c r="Q1" s="3237"/>
      <c r="R1" s="3237"/>
    </row>
    <row r="2" spans="1:18">
      <c r="A2" s="1793" t="s">
        <v>2040</v>
      </c>
      <c r="B2" s="1793"/>
      <c r="C2" s="1793"/>
      <c r="D2" s="1793"/>
      <c r="E2" s="1793"/>
      <c r="F2" s="1793"/>
      <c r="G2" s="1793"/>
      <c r="H2" s="1793"/>
      <c r="I2" s="1794"/>
      <c r="J2" s="1794"/>
      <c r="K2" s="1795" t="str">
        <f>"估价期日："&amp;TEXT(项目基本情况!D3,"yyyy年m月d日;;")</f>
        <v>估价期日：2019年7月11日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2029</v>
      </c>
      <c r="B3" s="3238" t="s">
        <v>2730</v>
      </c>
      <c r="C3" s="3239" t="s">
        <v>2030</v>
      </c>
      <c r="D3" s="3238" t="s">
        <v>2734</v>
      </c>
      <c r="E3" s="3233" t="s">
        <v>2031</v>
      </c>
      <c r="F3" s="3233"/>
      <c r="G3" s="3233"/>
      <c r="H3" s="3233" t="s">
        <v>2032</v>
      </c>
      <c r="I3" s="3233"/>
      <c r="J3" s="3233"/>
      <c r="K3" s="3239" t="s">
        <v>2033</v>
      </c>
      <c r="L3" s="3239" t="s">
        <v>2034</v>
      </c>
      <c r="M3" s="3238" t="s">
        <v>2731</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4" t="s">
        <v>2042</v>
      </c>
      <c r="F4" s="2614" t="s">
        <v>2743</v>
      </c>
      <c r="G4" s="2614" t="s">
        <v>2036</v>
      </c>
      <c r="H4" s="2614" t="s">
        <v>2037</v>
      </c>
      <c r="I4" s="2614" t="s">
        <v>2744</v>
      </c>
      <c r="J4" s="2614" t="s">
        <v>2036</v>
      </c>
      <c r="K4" s="3239"/>
      <c r="L4" s="3239"/>
      <c r="M4" s="3238"/>
      <c r="N4" s="3240"/>
      <c r="O4" s="3238"/>
      <c r="P4" s="3239"/>
      <c r="Q4" s="3239"/>
      <c r="R4" s="3239"/>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38151.279999999999</v>
      </c>
      <c r="O5" s="1796">
        <f>项目基本情况!C21</f>
        <v>245201.18990375422</v>
      </c>
      <c r="P5" s="1796">
        <f ca="1">结果表!E42</f>
        <v>41750</v>
      </c>
      <c r="Q5" s="1796">
        <f ca="1">结果表!D42</f>
        <v>6496</v>
      </c>
      <c r="R5" s="1797">
        <f ca="1">结果表!C42</f>
        <v>159280</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8">
        <f ca="1">结果表!O39</f>
        <v>159280</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8" t="str">
        <f>结果表!O40</f>
        <v>——</v>
      </c>
    </row>
    <row r="8" spans="1:18">
      <c r="A8" s="3234" t="str">
        <f>IF(项目基本情况!B9="市场价格","——",项目基本情况!E9)</f>
        <v>抵押净值</v>
      </c>
      <c r="B8" s="3235"/>
      <c r="C8" s="3235"/>
      <c r="D8" s="3235"/>
      <c r="E8" s="3235"/>
      <c r="F8" s="3235"/>
      <c r="G8" s="3235"/>
      <c r="H8" s="3235"/>
      <c r="I8" s="3235"/>
      <c r="J8" s="3235"/>
      <c r="K8" s="3235"/>
      <c r="L8" s="3235"/>
      <c r="M8" s="3235"/>
      <c r="N8" s="3235"/>
      <c r="O8" s="3235"/>
      <c r="P8" s="3235"/>
      <c r="Q8" s="3236"/>
      <c r="R8" s="1798">
        <f ca="1">结果表!O41</f>
        <v>110282</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42" t="s">
        <v>2065</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2066</v>
      </c>
      <c r="B5" s="3241"/>
      <c r="C5" s="3241"/>
      <c r="D5" s="3241"/>
    </row>
    <row r="6" spans="1:4">
      <c r="A6" s="3242" t="s">
        <v>2044</v>
      </c>
      <c r="B6" s="3242"/>
      <c r="C6" s="3242"/>
      <c r="D6" s="3242"/>
    </row>
    <row r="7" spans="1:4" ht="33" customHeight="1">
      <c r="A7" s="3242" t="s">
        <v>2574</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2068</v>
      </c>
      <c r="B12" s="3241"/>
      <c r="C12" s="3241"/>
      <c r="D12" s="3241"/>
    </row>
    <row r="13" spans="1:4">
      <c r="A13" s="3245" t="s">
        <v>2745</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2701</v>
      </c>
      <c r="B17" s="3242"/>
      <c r="C17" s="3242"/>
      <c r="D17" s="3242"/>
    </row>
    <row r="18" spans="1:4">
      <c r="A18" s="3242" t="s">
        <v>2693</v>
      </c>
      <c r="B18" s="3242"/>
      <c r="C18" s="3242"/>
      <c r="D18" s="3242"/>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42" t="s">
        <v>2698</v>
      </c>
      <c r="B23" s="3242"/>
      <c r="C23" s="3242"/>
      <c r="D23" s="3242"/>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53" t="s">
        <v>53</v>
      </c>
      <c r="B15" s="3254" t="s">
        <v>846</v>
      </c>
      <c r="C15" s="3250"/>
    </row>
    <row r="16" spans="1:7" ht="14.4">
      <c r="A16" s="3253"/>
      <c r="B16" s="3251" t="s">
        <v>54</v>
      </c>
      <c r="C16" s="1168" t="s">
        <v>53</v>
      </c>
    </row>
    <row r="17" spans="1:3" ht="14.4">
      <c r="A17" s="3253"/>
      <c r="B17" s="3251"/>
      <c r="C17" s="1168" t="s">
        <v>55</v>
      </c>
    </row>
    <row r="18" spans="1:3" ht="14.4">
      <c r="A18" s="3253"/>
      <c r="B18" s="3251"/>
      <c r="C18" s="1168" t="s">
        <v>56</v>
      </c>
    </row>
    <row r="19" spans="1:3" ht="14.4">
      <c r="A19" s="3253"/>
      <c r="B19" s="3249" t="s">
        <v>57</v>
      </c>
      <c r="C19" s="3250"/>
    </row>
    <row r="20" spans="1:3" ht="14.4">
      <c r="A20" s="1169" t="s">
        <v>58</v>
      </c>
      <c r="B20" s="1170"/>
      <c r="C20" s="1171"/>
    </row>
    <row r="21" spans="1:3" ht="14.4">
      <c r="A21" s="3252" t="s">
        <v>59</v>
      </c>
      <c r="B21" s="3249" t="s">
        <v>60</v>
      </c>
      <c r="C21" s="3250"/>
    </row>
    <row r="22" spans="1:3" ht="14.4">
      <c r="A22" s="3252"/>
      <c r="B22" s="3249" t="s">
        <v>61</v>
      </c>
      <c r="C22" s="3250"/>
    </row>
    <row r="23" spans="1:3" ht="14.4">
      <c r="A23" s="3252"/>
      <c r="B23" s="3249" t="s">
        <v>62</v>
      </c>
      <c r="C23" s="3250"/>
    </row>
    <row r="24" spans="1:3" ht="14.4">
      <c r="A24" s="3252"/>
      <c r="B24" s="3255" t="s">
        <v>63</v>
      </c>
      <c r="C24" s="1172" t="s">
        <v>837</v>
      </c>
    </row>
    <row r="25" spans="1:3" ht="14.4">
      <c r="A25" s="3252"/>
      <c r="B25" s="3256"/>
      <c r="C25" s="1172" t="s">
        <v>838</v>
      </c>
    </row>
    <row r="26" spans="1:3" ht="14.4">
      <c r="A26" s="3252"/>
      <c r="B26" s="3256"/>
      <c r="C26" s="1172" t="s">
        <v>839</v>
      </c>
    </row>
    <row r="27" spans="1:3" ht="14.4">
      <c r="A27" s="3252"/>
      <c r="B27" s="3256"/>
      <c r="C27" s="1172" t="s">
        <v>840</v>
      </c>
    </row>
    <row r="28" spans="1:3" ht="14.4">
      <c r="A28" s="3252"/>
      <c r="B28" s="3256"/>
      <c r="C28" s="1172" t="s">
        <v>841</v>
      </c>
    </row>
    <row r="29" spans="1:3" ht="14.4">
      <c r="A29" s="3252"/>
      <c r="B29" s="3256"/>
      <c r="C29" s="1172" t="s">
        <v>842</v>
      </c>
    </row>
    <row r="30" spans="1:3" ht="14.4">
      <c r="A30" s="3252"/>
      <c r="B30" s="3256"/>
      <c r="C30" s="1172" t="s">
        <v>843</v>
      </c>
    </row>
    <row r="31" spans="1:3" ht="14.4">
      <c r="A31" s="3252"/>
      <c r="B31" s="3256"/>
      <c r="C31" s="1172" t="s">
        <v>844</v>
      </c>
    </row>
    <row r="32" spans="1:3" ht="14.4">
      <c r="A32" s="3252"/>
      <c r="B32" s="3256"/>
      <c r="C32" s="1172" t="s">
        <v>1646</v>
      </c>
    </row>
    <row r="33" spans="1:3" ht="14.4">
      <c r="A33" s="3252"/>
      <c r="B33" s="3246" t="s">
        <v>1652</v>
      </c>
      <c r="C33" s="1172" t="s">
        <v>1647</v>
      </c>
    </row>
    <row r="34" spans="1:3" ht="14.4">
      <c r="A34" s="3252"/>
      <c r="B34" s="3247"/>
      <c r="C34" s="1177" t="s">
        <v>1648</v>
      </c>
    </row>
    <row r="35" spans="1:3" ht="14.4">
      <c r="A35" s="3252"/>
      <c r="B35" s="3247"/>
      <c r="C35" s="1178" t="s">
        <v>1649</v>
      </c>
    </row>
    <row r="36" spans="1:3" ht="14.4">
      <c r="A36" s="3252"/>
      <c r="B36" s="3247"/>
      <c r="C36" s="1178" t="s">
        <v>1650</v>
      </c>
    </row>
    <row r="37" spans="1:3" ht="14.4">
      <c r="A37" s="3252"/>
      <c r="B37" s="3248"/>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31" customWidth="1"/>
    <col min="2" max="5" width="22.6640625" style="3131"/>
    <col min="6" max="6" width="25.6640625" style="3131" customWidth="1"/>
    <col min="7" max="16384" width="22.6640625" style="3131"/>
  </cols>
  <sheetData>
    <row r="2" spans="1:6" ht="20.25" customHeight="1">
      <c r="A2" s="3128" t="s">
        <v>1907</v>
      </c>
      <c r="B2" s="3129">
        <f ca="1">TODAY()</f>
        <v>43675</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2573</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5" t="s">
        <v>2955</v>
      </c>
      <c r="C18" s="1541"/>
    </row>
    <row r="19" spans="1:3" ht="14.4">
      <c r="A19" s="8" t="s">
        <v>120</v>
      </c>
      <c r="B19" s="3065" t="s">
        <v>2963</v>
      </c>
      <c r="C19" s="1541"/>
    </row>
    <row r="20" spans="1:3" ht="14.4">
      <c r="A20" s="8" t="s">
        <v>121</v>
      </c>
      <c r="B20" s="3065" t="s">
        <v>3212</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2019-07-29T05:38:41Z</dcterms:modified>
</cp:coreProperties>
</file>