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E2A74059-26DB-43B1-80D5-4A55CDB814C4}" xr6:coauthVersionLast="45" xr6:coauthVersionMax="45" xr10:uidLastSave="{00000000-0000-0000-0000-000000000000}"/>
  <bookViews>
    <workbookView xWindow="-108" yWindow="-108" windowWidth="23256" windowHeight="12576" tabRatio="875" firstSheet="15" activeTab="39"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土地案例" sheetId="69" r:id="rId29"/>
    <sheet name="收益还原法" sheetId="44" state="hidden" r:id="rId30"/>
    <sheet name="剩余法-待开发" sheetId="12" r:id="rId31"/>
    <sheet name="不动产比较法-住宅" sheetId="21" r:id="rId32"/>
    <sheet name="不动产比较法-商业" sheetId="33" state="hidden" r:id="rId33"/>
    <sheet name="不动产比较法-住宅 (2)" sheetId="75" state="hidden" r:id="rId34"/>
    <sheet name="不动产收益法" sheetId="15" r:id="rId35"/>
    <sheet name="酒店收入计算" sheetId="57" state="hidden" r:id="rId36"/>
    <sheet name="成本逼近法" sheetId="11" state="hidden" r:id="rId37"/>
    <sheet name="不动产比较法-办公" sheetId="34" state="hidden" r:id="rId38"/>
    <sheet name="不动产收益法 (车库)" sheetId="74" r:id="rId39"/>
    <sheet name="住宅案例" sheetId="72" r:id="rId40"/>
    <sheet name="商业案例" sheetId="73"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s>
  <definedNames>
    <definedName name="_xlnm._FilterDatabase" localSheetId="20"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33" hidden="1">'不动产比较法-住宅 (2)'!$A$1:$L$49</definedName>
    <definedName name="_xlnm._FilterDatabase" localSheetId="10" hidden="1">'数据-基础表'!$A$12:$AT$572</definedName>
    <definedName name="_xlnm._FilterDatabase" localSheetId="9" hidden="1">项目基本情况!$A$48:$N$48</definedName>
    <definedName name="_xlnm.Print_Area" localSheetId="13">'数据-汇总表'!$A$1:$I$32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'不动产比较法-住宅 (2)'!$B$88:$M$88</definedName>
    <definedName name="住宅朝向">'不动产比较法-住宅'!$B$88:$M$88</definedName>
    <definedName name="住宅房型" localSheetId="33">'不动产比较法-住宅 (2)'!$B$118:$M$118</definedName>
    <definedName name="住宅房型">'不动产比较法-住宅'!$B$118:$M$118</definedName>
    <definedName name="住宅公共部分装修" localSheetId="33">'不动产比较法-住宅 (2)'!$B$109:$M$109</definedName>
    <definedName name="住宅公共部分装修">'不动产比较法-住宅'!$B$109:$M$109</definedName>
    <definedName name="住宅基础设施水平" localSheetId="33">'不动产比较法-住宅 (2)'!$B$116:$M$116</definedName>
    <definedName name="住宅基础设施水平">'不动产比较法-住宅'!$B$116:$M$116</definedName>
    <definedName name="住宅建筑结构" localSheetId="33">'不动产比较法-住宅 (2)'!$B$105:$M$105</definedName>
    <definedName name="住宅建筑结构">'不动产比较法-住宅'!$B$105:$M$105</definedName>
    <definedName name="住宅建筑类型" localSheetId="33">'不动产比较法-住宅 (2)'!$B$100:$M$100</definedName>
    <definedName name="住宅建筑类型">'不动产比较法-住宅'!$B$100:$M$100</definedName>
    <definedName name="住宅建筑品质" localSheetId="33">'不动产比较法-住宅 (2)'!$B$107:$M$107</definedName>
    <definedName name="住宅建筑品质">'不动产比较法-住宅'!$B$107:$M$107</definedName>
    <definedName name="住宅交易情况" localSheetId="33">'不动产比较法-住宅 (2)'!$A$61:$M$61</definedName>
    <definedName name="住宅交易情况">'不动产比较法-住宅'!$A$61:$M$61</definedName>
    <definedName name="住宅楼层" localSheetId="33">'不动产比较法-住宅 (2)'!$B$86:$M$86</definedName>
    <definedName name="住宅楼层">'不动产比较法-住宅'!$B$86:$M$86</definedName>
    <definedName name="住宅内部装修" localSheetId="33">'不动产比较法-住宅 (2)'!$B$122:$M$122</definedName>
    <definedName name="住宅内部装修">'不动产比较法-住宅'!$B$122:$M$122</definedName>
    <definedName name="住宅物业管理" localSheetId="33">'不动产比较法-住宅 (2)'!$B$114:$M$114</definedName>
    <definedName name="住宅物业管理">'不动产比较法-住宅'!$B$114:$M$114</definedName>
    <definedName name="住宅用途" localSheetId="33">'不动产比较法-住宅 (2)'!$B$63:$M$63</definedName>
    <definedName name="住宅用途">'不动产比较法-住宅'!$B$63:$M$63</definedName>
    <definedName name="住宅主力户型面积" localSheetId="33">'不动产比较法-住宅 (2)'!$B$120:$M$120</definedName>
    <definedName name="住宅主力户型面积">'不动产比较法-住宅'!$B$120:$M$120</definedName>
    <definedName name="注册房地产估价师">估价师及机构信息!$A$3:$A$24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5" i="75" l="1"/>
  <c r="J142" i="75"/>
  <c r="J140" i="75"/>
  <c r="K145" i="75" s="1"/>
  <c r="K139" i="75"/>
  <c r="K141" i="75" s="1"/>
  <c r="B130" i="75"/>
  <c r="B128" i="75"/>
  <c r="B126" i="75"/>
  <c r="E125" i="75"/>
  <c r="F125" i="75" s="1"/>
  <c r="G125" i="75" s="1"/>
  <c r="D125" i="75"/>
  <c r="E123" i="75"/>
  <c r="F123" i="75" s="1"/>
  <c r="D123" i="75"/>
  <c r="E119" i="75"/>
  <c r="F119" i="75" s="1"/>
  <c r="G119" i="75" s="1"/>
  <c r="H119" i="75" s="1"/>
  <c r="I119" i="75" s="1"/>
  <c r="J119" i="75" s="1"/>
  <c r="K119" i="75" s="1"/>
  <c r="L119" i="75" s="1"/>
  <c r="M119" i="75" s="1"/>
  <c r="D119" i="75"/>
  <c r="E117" i="75"/>
  <c r="F117" i="75" s="1"/>
  <c r="G117" i="75" s="1"/>
  <c r="D117" i="75"/>
  <c r="E115" i="75"/>
  <c r="F115" i="75" s="1"/>
  <c r="G115" i="75" s="1"/>
  <c r="H115" i="75" s="1"/>
  <c r="I115" i="75" s="1"/>
  <c r="J115" i="75" s="1"/>
  <c r="K115" i="75" s="1"/>
  <c r="L115" i="75" s="1"/>
  <c r="M115" i="75" s="1"/>
  <c r="D115" i="75"/>
  <c r="D113" i="75"/>
  <c r="E113" i="75" s="1"/>
  <c r="F113" i="75" s="1"/>
  <c r="G113" i="75" s="1"/>
  <c r="H111" i="75"/>
  <c r="G111" i="75"/>
  <c r="F111" i="75"/>
  <c r="E111" i="75"/>
  <c r="D111" i="75"/>
  <c r="C111" i="75"/>
  <c r="D110" i="75"/>
  <c r="E110" i="75" s="1"/>
  <c r="F110" i="75" s="1"/>
  <c r="G110" i="75" s="1"/>
  <c r="H110" i="75" s="1"/>
  <c r="I110" i="75" s="1"/>
  <c r="J110" i="75" s="1"/>
  <c r="K110" i="75" s="1"/>
  <c r="L110" i="75" s="1"/>
  <c r="M110" i="75" s="1"/>
  <c r="D108" i="75"/>
  <c r="E108" i="75" s="1"/>
  <c r="F108" i="75" s="1"/>
  <c r="G108" i="75" s="1"/>
  <c r="H108" i="75" s="1"/>
  <c r="I108" i="75" s="1"/>
  <c r="J108" i="75" s="1"/>
  <c r="K108" i="75" s="1"/>
  <c r="L108" i="75" s="1"/>
  <c r="M108" i="75" s="1"/>
  <c r="D106" i="75"/>
  <c r="E106" i="75" s="1"/>
  <c r="F106" i="75" s="1"/>
  <c r="G106" i="75" s="1"/>
  <c r="H106" i="75" s="1"/>
  <c r="I106" i="75" s="1"/>
  <c r="J106" i="75" s="1"/>
  <c r="K106" i="75" s="1"/>
  <c r="L106" i="75" s="1"/>
  <c r="M106" i="75" s="1"/>
  <c r="M102" i="75"/>
  <c r="L102" i="75"/>
  <c r="K102" i="75"/>
  <c r="J102" i="75"/>
  <c r="I102" i="75"/>
  <c r="H102" i="75"/>
  <c r="G102" i="75"/>
  <c r="F102" i="75"/>
  <c r="E102" i="75"/>
  <c r="D102" i="75"/>
  <c r="C102" i="75"/>
  <c r="E101" i="75"/>
  <c r="F101" i="75" s="1"/>
  <c r="D101" i="75"/>
  <c r="B98" i="75"/>
  <c r="B96" i="75"/>
  <c r="B94" i="75"/>
  <c r="B92" i="75"/>
  <c r="B90" i="75"/>
  <c r="D89" i="75"/>
  <c r="E89" i="75" s="1"/>
  <c r="F89" i="75" s="1"/>
  <c r="G89" i="75" s="1"/>
  <c r="H89" i="75" s="1"/>
  <c r="I89" i="75" s="1"/>
  <c r="J89" i="75" s="1"/>
  <c r="K89" i="75" s="1"/>
  <c r="L89" i="75" s="1"/>
  <c r="M89" i="75" s="1"/>
  <c r="M87" i="75"/>
  <c r="L87" i="75"/>
  <c r="K87" i="75"/>
  <c r="J87" i="75"/>
  <c r="I87" i="75"/>
  <c r="H87" i="75"/>
  <c r="G87" i="75"/>
  <c r="F87" i="75"/>
  <c r="E87" i="75"/>
  <c r="D87" i="75"/>
  <c r="D85" i="75"/>
  <c r="E85" i="75" s="1"/>
  <c r="D83" i="75"/>
  <c r="F21" i="75" s="1"/>
  <c r="D81" i="75"/>
  <c r="E81" i="75" s="1"/>
  <c r="D79" i="75"/>
  <c r="F17" i="75" s="1"/>
  <c r="D77" i="75"/>
  <c r="E77" i="75" s="1"/>
  <c r="F77" i="75" s="1"/>
  <c r="G77" i="75" s="1"/>
  <c r="B74" i="75"/>
  <c r="B72" i="75"/>
  <c r="B70" i="75"/>
  <c r="E69" i="75"/>
  <c r="D69" i="75"/>
  <c r="M67" i="75"/>
  <c r="L67" i="75"/>
  <c r="K67" i="75"/>
  <c r="J67" i="75"/>
  <c r="I67" i="75"/>
  <c r="H67" i="75"/>
  <c r="G67" i="75"/>
  <c r="F67" i="75"/>
  <c r="E67" i="75"/>
  <c r="D67" i="75"/>
  <c r="C67" i="75"/>
  <c r="D66" i="75"/>
  <c r="E66" i="75" s="1"/>
  <c r="C63" i="75"/>
  <c r="I54" i="75"/>
  <c r="J54" i="75" s="1"/>
  <c r="G54" i="75"/>
  <c r="H54" i="75" s="1"/>
  <c r="E54" i="75"/>
  <c r="F54" i="75" s="1"/>
  <c r="P49" i="75"/>
  <c r="P48" i="75"/>
  <c r="V47" i="75"/>
  <c r="T47" i="75"/>
  <c r="R47" i="75"/>
  <c r="P47" i="75"/>
  <c r="W46" i="75"/>
  <c r="S46" i="75"/>
  <c r="Q46" i="75"/>
  <c r="Z46" i="75" s="1"/>
  <c r="J46" i="75"/>
  <c r="AC46" i="75" s="1"/>
  <c r="H46" i="75"/>
  <c r="AB46" i="75" s="1"/>
  <c r="F46" i="75"/>
  <c r="AA46" i="75" s="1"/>
  <c r="Z45" i="75"/>
  <c r="Q45" i="75"/>
  <c r="J45" i="75"/>
  <c r="W45" i="75" s="1"/>
  <c r="H45" i="75"/>
  <c r="U45" i="75" s="1"/>
  <c r="F45" i="75"/>
  <c r="S45" i="75" s="1"/>
  <c r="U44" i="75"/>
  <c r="S44" i="75"/>
  <c r="Q44" i="75"/>
  <c r="Z44" i="75" s="1"/>
  <c r="J44" i="75"/>
  <c r="W44" i="75" s="1"/>
  <c r="H44" i="75"/>
  <c r="AB44" i="75" s="1"/>
  <c r="F44" i="75"/>
  <c r="AA44" i="75" s="1"/>
  <c r="Z43" i="75"/>
  <c r="U43" i="75"/>
  <c r="Q43" i="75"/>
  <c r="J43" i="75"/>
  <c r="AC43" i="75" s="1"/>
  <c r="H43" i="75"/>
  <c r="AB43" i="75" s="1"/>
  <c r="F43" i="75"/>
  <c r="S43" i="75" s="1"/>
  <c r="Q42" i="75"/>
  <c r="Z42" i="75" s="1"/>
  <c r="W41" i="75"/>
  <c r="Q41" i="75"/>
  <c r="Z41" i="75" s="1"/>
  <c r="J41" i="75"/>
  <c r="AC41" i="75" s="1"/>
  <c r="H41" i="75"/>
  <c r="AB41" i="75" s="1"/>
  <c r="F41" i="75"/>
  <c r="AA41" i="75" s="1"/>
  <c r="W40" i="75"/>
  <c r="Q40" i="75"/>
  <c r="Z40" i="75" s="1"/>
  <c r="J40" i="75"/>
  <c r="AC40" i="75" s="1"/>
  <c r="H40" i="75"/>
  <c r="U40" i="75" s="1"/>
  <c r="F40" i="75"/>
  <c r="S40" i="75" s="1"/>
  <c r="W39" i="75"/>
  <c r="S39" i="75"/>
  <c r="Q39" i="75"/>
  <c r="Z39" i="75" s="1"/>
  <c r="J39" i="75"/>
  <c r="AC39" i="75" s="1"/>
  <c r="H39" i="75"/>
  <c r="U39" i="75" s="1"/>
  <c r="F39" i="75"/>
  <c r="AA39" i="75" s="1"/>
  <c r="Z38" i="75"/>
  <c r="S38" i="75"/>
  <c r="Q38" i="75"/>
  <c r="J38" i="75"/>
  <c r="AC38" i="75" s="1"/>
  <c r="H38" i="75"/>
  <c r="AB38" i="75" s="1"/>
  <c r="F38" i="75"/>
  <c r="AA38" i="75" s="1"/>
  <c r="Z37" i="75"/>
  <c r="Q37" i="75"/>
  <c r="G37" i="75"/>
  <c r="H37" i="75" s="1"/>
  <c r="E37" i="75"/>
  <c r="I37" i="75" s="1"/>
  <c r="J37" i="75" s="1"/>
  <c r="Q36" i="75"/>
  <c r="Z36" i="75" s="1"/>
  <c r="J36" i="75"/>
  <c r="AC36" i="75" s="1"/>
  <c r="H36" i="75"/>
  <c r="AB36" i="75" s="1"/>
  <c r="F36" i="75"/>
  <c r="S36" i="75" s="1"/>
  <c r="U35" i="75"/>
  <c r="Q35" i="75"/>
  <c r="Z35" i="75" s="1"/>
  <c r="J35" i="75"/>
  <c r="W35" i="75" s="1"/>
  <c r="H35" i="75"/>
  <c r="AB35" i="75" s="1"/>
  <c r="F35" i="75"/>
  <c r="S35" i="75" s="1"/>
  <c r="Z34" i="75"/>
  <c r="W34" i="75"/>
  <c r="Q34" i="75"/>
  <c r="J34" i="75"/>
  <c r="AC34" i="75" s="1"/>
  <c r="H34" i="75"/>
  <c r="AB34" i="75" s="1"/>
  <c r="F34" i="75"/>
  <c r="AA34" i="75" s="1"/>
  <c r="Q33" i="75"/>
  <c r="Z33" i="75" s="1"/>
  <c r="J33" i="75"/>
  <c r="AC33" i="75" s="1"/>
  <c r="H33" i="75"/>
  <c r="U33" i="75" s="1"/>
  <c r="C33" i="75"/>
  <c r="F33" i="75" s="1"/>
  <c r="Z32" i="75"/>
  <c r="Q32" i="75"/>
  <c r="Q31" i="75"/>
  <c r="Z31" i="75" s="1"/>
  <c r="J31" i="75"/>
  <c r="AC31" i="75" s="1"/>
  <c r="H31" i="75"/>
  <c r="AB31" i="75" s="1"/>
  <c r="F31" i="75"/>
  <c r="S31" i="75" s="1"/>
  <c r="W30" i="75"/>
  <c r="U30" i="75"/>
  <c r="Q30" i="75"/>
  <c r="Z30" i="75" s="1"/>
  <c r="J30" i="75"/>
  <c r="AC30" i="75" s="1"/>
  <c r="H30" i="75"/>
  <c r="AB30" i="75" s="1"/>
  <c r="F30" i="75"/>
  <c r="S30" i="75" s="1"/>
  <c r="W29" i="75"/>
  <c r="Q29" i="75"/>
  <c r="Z29" i="75" s="1"/>
  <c r="J29" i="75"/>
  <c r="AC29" i="75" s="1"/>
  <c r="H29" i="75"/>
  <c r="AB29" i="75" s="1"/>
  <c r="F29" i="75"/>
  <c r="AA29" i="75" s="1"/>
  <c r="S28" i="75"/>
  <c r="Q28" i="75"/>
  <c r="Z28" i="75" s="1"/>
  <c r="J28" i="75"/>
  <c r="AC28" i="75" s="1"/>
  <c r="H28" i="75"/>
  <c r="U28" i="75" s="1"/>
  <c r="F28" i="75"/>
  <c r="AA28" i="75" s="1"/>
  <c r="Z27" i="75"/>
  <c r="W27" i="75"/>
  <c r="S27" i="75"/>
  <c r="Q27" i="75"/>
  <c r="J27" i="75"/>
  <c r="AC27" i="75" s="1"/>
  <c r="H27" i="75"/>
  <c r="U27" i="75" s="1"/>
  <c r="F27" i="75"/>
  <c r="AA27" i="75" s="1"/>
  <c r="Z26" i="75"/>
  <c r="Q26" i="75"/>
  <c r="J26" i="75"/>
  <c r="AC26" i="75" s="1"/>
  <c r="H26" i="75"/>
  <c r="AB26" i="75" s="1"/>
  <c r="F26" i="75"/>
  <c r="AA26" i="75" s="1"/>
  <c r="U25" i="75"/>
  <c r="S25" i="75"/>
  <c r="Q25" i="75"/>
  <c r="Z25" i="75" s="1"/>
  <c r="J25" i="75"/>
  <c r="W25" i="75" s="1"/>
  <c r="H25" i="75"/>
  <c r="AB25" i="75" s="1"/>
  <c r="F25" i="75"/>
  <c r="AA25" i="75" s="1"/>
  <c r="Z23" i="75"/>
  <c r="Q23" i="75"/>
  <c r="C23" i="75"/>
  <c r="Q21" i="75"/>
  <c r="Z21" i="75" s="1"/>
  <c r="J21" i="75"/>
  <c r="AC21" i="75" s="1"/>
  <c r="H21" i="75"/>
  <c r="U21" i="75" s="1"/>
  <c r="C21" i="75"/>
  <c r="Z19" i="75"/>
  <c r="Q19" i="75"/>
  <c r="C19" i="75"/>
  <c r="Q17" i="75"/>
  <c r="Z17" i="75" s="1"/>
  <c r="J17" i="75"/>
  <c r="AC17" i="75" s="1"/>
  <c r="H17" i="75"/>
  <c r="U17" i="75" s="1"/>
  <c r="C17" i="75"/>
  <c r="Z15" i="75"/>
  <c r="U15" i="75"/>
  <c r="Q15" i="75"/>
  <c r="J15" i="75"/>
  <c r="W15" i="75" s="1"/>
  <c r="H15" i="75"/>
  <c r="AB15" i="75" s="1"/>
  <c r="F15" i="75"/>
  <c r="AA15" i="75" s="1"/>
  <c r="C15" i="75"/>
  <c r="S14" i="75"/>
  <c r="Q14" i="75"/>
  <c r="Z14" i="75" s="1"/>
  <c r="J14" i="75"/>
  <c r="AC14" i="75" s="1"/>
  <c r="H14" i="75"/>
  <c r="U14" i="75" s="1"/>
  <c r="F14" i="75"/>
  <c r="AA14" i="75" s="1"/>
  <c r="Z13" i="75"/>
  <c r="W13" i="75"/>
  <c r="U13" i="75"/>
  <c r="S13" i="75"/>
  <c r="Q13" i="75"/>
  <c r="J13" i="75"/>
  <c r="AC13" i="75" s="1"/>
  <c r="H13" i="75"/>
  <c r="AB13" i="75" s="1"/>
  <c r="F13" i="75"/>
  <c r="AA13" i="75" s="1"/>
  <c r="Z12" i="75"/>
  <c r="Q12" i="75"/>
  <c r="J12" i="75"/>
  <c r="AC12" i="75" s="1"/>
  <c r="H12" i="75"/>
  <c r="AB12" i="75" s="1"/>
  <c r="F12" i="75"/>
  <c r="AA12" i="75" s="1"/>
  <c r="Q11" i="75"/>
  <c r="Z11" i="75" s="1"/>
  <c r="Z10" i="75"/>
  <c r="Q10" i="75"/>
  <c r="Q9" i="75"/>
  <c r="Z9" i="75" s="1"/>
  <c r="J9" i="75"/>
  <c r="AC9" i="75" s="1"/>
  <c r="H9" i="75"/>
  <c r="AB9" i="75" s="1"/>
  <c r="F9" i="75"/>
  <c r="S9" i="75" s="1"/>
  <c r="AA8" i="75"/>
  <c r="S8" i="75"/>
  <c r="J8" i="75"/>
  <c r="W8" i="75" s="1"/>
  <c r="H8" i="75"/>
  <c r="U8" i="75" s="1"/>
  <c r="F8" i="75"/>
  <c r="G7" i="75"/>
  <c r="C7" i="75"/>
  <c r="E7" i="75" s="1"/>
  <c r="D3" i="75"/>
  <c r="H32" i="75" l="1"/>
  <c r="F32" i="75"/>
  <c r="G101" i="75"/>
  <c r="H101" i="75" s="1"/>
  <c r="I101" i="75" s="1"/>
  <c r="J101" i="75" s="1"/>
  <c r="K101" i="75" s="1"/>
  <c r="L101" i="75" s="1"/>
  <c r="M101" i="75" s="1"/>
  <c r="J32" i="75"/>
  <c r="H10" i="75"/>
  <c r="F10" i="75"/>
  <c r="J10" i="75"/>
  <c r="F66" i="75"/>
  <c r="G66" i="75" s="1"/>
  <c r="H66" i="75" s="1"/>
  <c r="I66" i="75" s="1"/>
  <c r="S33" i="75"/>
  <c r="AA33" i="75"/>
  <c r="S17" i="75"/>
  <c r="AA17" i="75"/>
  <c r="W37" i="75"/>
  <c r="AC37" i="75"/>
  <c r="H19" i="75"/>
  <c r="F19" i="75"/>
  <c r="F81" i="75"/>
  <c r="G81" i="75" s="1"/>
  <c r="J19" i="75"/>
  <c r="S21" i="75"/>
  <c r="AA21" i="75"/>
  <c r="F37" i="75"/>
  <c r="H113" i="75"/>
  <c r="G123" i="75"/>
  <c r="H123" i="75" s="1"/>
  <c r="I123" i="75" s="1"/>
  <c r="J123" i="75" s="1"/>
  <c r="K123" i="75" s="1"/>
  <c r="L123" i="75" s="1"/>
  <c r="M123" i="75" s="1"/>
  <c r="J42" i="75"/>
  <c r="F42" i="75"/>
  <c r="H42" i="75"/>
  <c r="U37" i="75"/>
  <c r="AB37" i="75"/>
  <c r="H11" i="75"/>
  <c r="H23" i="75"/>
  <c r="F85" i="75"/>
  <c r="G85" i="75" s="1"/>
  <c r="F23" i="75"/>
  <c r="J23" i="75"/>
  <c r="AC15" i="75"/>
  <c r="W17" i="75"/>
  <c r="AB27" i="75"/>
  <c r="W28" i="75"/>
  <c r="AA30" i="75"/>
  <c r="U31" i="75"/>
  <c r="W33" i="75"/>
  <c r="AB39" i="75"/>
  <c r="AC44" i="75"/>
  <c r="C58" i="75"/>
  <c r="D58" i="75" s="1"/>
  <c r="E58" i="75" s="1"/>
  <c r="F58" i="75" s="1"/>
  <c r="G58" i="75" s="1"/>
  <c r="H58" i="75" s="1"/>
  <c r="I58" i="75" s="1"/>
  <c r="J58" i="75" s="1"/>
  <c r="K58" i="75" s="1"/>
  <c r="L58" i="75" s="1"/>
  <c r="M58" i="75" s="1"/>
  <c r="N58" i="75" s="1"/>
  <c r="O58" i="75" s="1"/>
  <c r="AB8" i="75"/>
  <c r="W9" i="75"/>
  <c r="F11" i="75"/>
  <c r="U12" i="75"/>
  <c r="U26" i="75"/>
  <c r="S29" i="75"/>
  <c r="W31" i="75"/>
  <c r="S34" i="75"/>
  <c r="W36" i="75"/>
  <c r="U38" i="75"/>
  <c r="S41" i="75"/>
  <c r="W43" i="75"/>
  <c r="AA45" i="75"/>
  <c r="U46" i="75"/>
  <c r="F69" i="75"/>
  <c r="G69" i="75" s="1"/>
  <c r="H69" i="75" s="1"/>
  <c r="E79" i="75"/>
  <c r="F79" i="75" s="1"/>
  <c r="G79" i="75" s="1"/>
  <c r="E83" i="75"/>
  <c r="F83" i="75" s="1"/>
  <c r="G83" i="75" s="1"/>
  <c r="U9" i="75"/>
  <c r="S12" i="75"/>
  <c r="W14" i="75"/>
  <c r="W21" i="75"/>
  <c r="S26" i="75"/>
  <c r="AA35" i="75"/>
  <c r="U36" i="75"/>
  <c r="I7" i="75"/>
  <c r="J7" i="75" s="1"/>
  <c r="AC8" i="75"/>
  <c r="W12" i="75"/>
  <c r="S15" i="75"/>
  <c r="W26" i="75"/>
  <c r="U29" i="75"/>
  <c r="U34" i="75"/>
  <c r="AC35" i="75"/>
  <c r="W38" i="75"/>
  <c r="AA40" i="75"/>
  <c r="U41" i="75"/>
  <c r="AB45" i="75"/>
  <c r="AA9" i="75"/>
  <c r="AB14" i="75"/>
  <c r="AB17" i="75"/>
  <c r="AB21" i="75"/>
  <c r="AC25" i="75"/>
  <c r="AB28" i="75"/>
  <c r="AA31" i="75"/>
  <c r="AB33" i="75"/>
  <c r="AA36" i="75"/>
  <c r="AB40" i="75"/>
  <c r="AA43" i="75"/>
  <c r="AC45" i="75"/>
  <c r="K143" i="75"/>
  <c r="K144" i="75"/>
  <c r="W20" i="68"/>
  <c r="W19" i="68"/>
  <c r="S37" i="75" l="1"/>
  <c r="AA37" i="75"/>
  <c r="AB10" i="75"/>
  <c r="U10" i="75"/>
  <c r="W7" i="75"/>
  <c r="AC7" i="75"/>
  <c r="AA10" i="75"/>
  <c r="S10" i="75"/>
  <c r="I69" i="75"/>
  <c r="J69" i="75" s="1"/>
  <c r="K69" i="75" s="1"/>
  <c r="L69" i="75" s="1"/>
  <c r="M69" i="75" s="1"/>
  <c r="J11" i="75"/>
  <c r="H7" i="75"/>
  <c r="W23" i="75"/>
  <c r="AC23" i="75"/>
  <c r="W19" i="75"/>
  <c r="AC19" i="75"/>
  <c r="W32" i="75"/>
  <c r="AC32" i="75"/>
  <c r="U42" i="75"/>
  <c r="AB42" i="75"/>
  <c r="AA23" i="75"/>
  <c r="S23" i="75"/>
  <c r="S42" i="75"/>
  <c r="AA42" i="75"/>
  <c r="W42" i="75"/>
  <c r="AC42" i="75"/>
  <c r="AA19" i="75"/>
  <c r="S19" i="75"/>
  <c r="AA32" i="75"/>
  <c r="S32" i="75"/>
  <c r="S11" i="75"/>
  <c r="AA11" i="75"/>
  <c r="AB19" i="75"/>
  <c r="U19" i="75"/>
  <c r="AB32" i="75"/>
  <c r="U32" i="75"/>
  <c r="AB23" i="75"/>
  <c r="U23" i="75"/>
  <c r="U11" i="75"/>
  <c r="AB11" i="75"/>
  <c r="W10" i="75"/>
  <c r="AC10" i="75"/>
  <c r="F7" i="75"/>
  <c r="AH10" i="1"/>
  <c r="L9" i="12"/>
  <c r="O35" i="69"/>
  <c r="O34" i="69"/>
  <c r="O33" i="69"/>
  <c r="O32" i="69"/>
  <c r="O31" i="69"/>
  <c r="O30" i="69"/>
  <c r="O29" i="69"/>
  <c r="O28" i="69"/>
  <c r="O27" i="69"/>
  <c r="O26" i="69"/>
  <c r="O25" i="69"/>
  <c r="O24" i="69"/>
  <c r="O23" i="69"/>
  <c r="O22" i="69"/>
  <c r="O21" i="69"/>
  <c r="O20" i="69"/>
  <c r="O19" i="69"/>
  <c r="O18" i="69"/>
  <c r="O17" i="69"/>
  <c r="O16" i="69"/>
  <c r="O15" i="69"/>
  <c r="O14" i="69"/>
  <c r="O13" i="69"/>
  <c r="O12" i="69"/>
  <c r="O11" i="69"/>
  <c r="O10" i="69"/>
  <c r="O9" i="69"/>
  <c r="O8" i="69"/>
  <c r="O7" i="69"/>
  <c r="O6" i="69"/>
  <c r="O5" i="69"/>
  <c r="O4" i="69"/>
  <c r="O3" i="69"/>
  <c r="O2" i="69"/>
  <c r="U7" i="75" l="1"/>
  <c r="AB7" i="75"/>
  <c r="T48" i="75" s="1"/>
  <c r="G48" i="75" s="1"/>
  <c r="W11" i="75"/>
  <c r="AC11" i="75"/>
  <c r="V48" i="75" s="1"/>
  <c r="I48" i="75" s="1"/>
  <c r="AA7" i="75"/>
  <c r="R48" i="75" s="1"/>
  <c r="S7" i="75"/>
  <c r="P81" i="68"/>
  <c r="Q81" i="68"/>
  <c r="R81" i="68"/>
  <c r="R78" i="68"/>
  <c r="Q78" i="68"/>
  <c r="P78" i="68"/>
  <c r="S76" i="68"/>
  <c r="I52" i="75" l="1"/>
  <c r="J52" i="75" s="1"/>
  <c r="G53" i="75"/>
  <c r="H53" i="75" s="1"/>
  <c r="G52" i="75"/>
  <c r="H52" i="75" s="1"/>
  <c r="R49" i="75"/>
  <c r="E48" i="75"/>
  <c r="X20" i="68"/>
  <c r="X19" i="68"/>
  <c r="X18" i="68"/>
  <c r="X17" i="68"/>
  <c r="AH18" i="3"/>
  <c r="AD18" i="3" s="1"/>
  <c r="Y20" i="68"/>
  <c r="Y19" i="68"/>
  <c r="Y18" i="68"/>
  <c r="Y17" i="68"/>
  <c r="Y16" i="68"/>
  <c r="S14" i="68"/>
  <c r="S15" i="68"/>
  <c r="S4" i="68"/>
  <c r="T15" i="68" s="1"/>
  <c r="C49" i="75" l="1"/>
  <c r="B3" i="75" s="1"/>
  <c r="B2" i="75" s="1"/>
  <c r="C48" i="75"/>
  <c r="E52" i="75"/>
  <c r="F52" i="75" s="1"/>
  <c r="E53" i="75"/>
  <c r="F53" i="75" s="1"/>
  <c r="I53" i="75"/>
  <c r="J53" i="75" s="1"/>
  <c r="Y21" i="68"/>
  <c r="Z15" i="68"/>
  <c r="Z18" i="68" s="1"/>
  <c r="AA18" i="68" s="1"/>
  <c r="B7" i="4"/>
  <c r="Z16" i="68" l="1"/>
  <c r="Z19" i="68"/>
  <c r="AA19" i="68" s="1"/>
  <c r="Z17" i="68"/>
  <c r="AA17" i="68" s="1"/>
  <c r="AA16" i="68"/>
  <c r="I36" i="33"/>
  <c r="G36" i="33"/>
  <c r="E36" i="33"/>
  <c r="Z20" i="68" l="1"/>
  <c r="AA20" i="68" s="1"/>
  <c r="AA21" i="68" s="1"/>
  <c r="M15" i="3"/>
  <c r="C5" i="33"/>
  <c r="Z21" i="68" l="1"/>
  <c r="AB21" i="68" s="1"/>
  <c r="U8" i="1" s="1"/>
  <c r="O15" i="3"/>
  <c r="G21" i="6" s="1"/>
  <c r="E37" i="21"/>
  <c r="I37" i="21" s="1"/>
  <c r="AL10" i="1"/>
  <c r="N14" i="1"/>
  <c r="L14" i="1"/>
  <c r="Q73" i="74"/>
  <c r="Q60" i="74"/>
  <c r="D60" i="74"/>
  <c r="Q59" i="74"/>
  <c r="K59" i="74"/>
  <c r="P75" i="74" s="1"/>
  <c r="F58" i="74"/>
  <c r="Q52" i="74"/>
  <c r="J50" i="74"/>
  <c r="M47" i="74"/>
  <c r="F33" i="74"/>
  <c r="F60" i="74" s="1"/>
  <c r="F31" i="74"/>
  <c r="F23" i="74"/>
  <c r="D24" i="74" s="1"/>
  <c r="D22" i="74"/>
  <c r="F21" i="74"/>
  <c r="F20" i="74"/>
  <c r="M19" i="74"/>
  <c r="F18" i="74"/>
  <c r="M17" i="74"/>
  <c r="F17" i="74"/>
  <c r="F15" i="74"/>
  <c r="W10" i="1"/>
  <c r="Y10" i="1"/>
  <c r="N10" i="1"/>
  <c r="L10" i="1"/>
  <c r="L7" i="1"/>
  <c r="J10" i="1"/>
  <c r="G22" i="6"/>
  <c r="F21" i="6"/>
  <c r="C23" i="6"/>
  <c r="AL19" i="3"/>
  <c r="AN19" i="3"/>
  <c r="Q17" i="3"/>
  <c r="G23" i="6" s="1"/>
  <c r="K14" i="3"/>
  <c r="F20" i="6" s="1"/>
  <c r="T49" i="68"/>
  <c r="Q60" i="68"/>
  <c r="R60" i="68"/>
  <c r="T35" i="68"/>
  <c r="T36" i="68" s="1"/>
  <c r="R47" i="68"/>
  <c r="Q47" i="68"/>
  <c r="I13" i="3"/>
  <c r="R33" i="68"/>
  <c r="Q33" i="68"/>
  <c r="R23" i="68"/>
  <c r="Q23" i="68"/>
  <c r="R12" i="68"/>
  <c r="R24" i="68" s="1"/>
  <c r="Q12" i="68"/>
  <c r="T50" i="68" l="1"/>
  <c r="D23" i="74"/>
  <c r="Q61" i="68"/>
  <c r="Q24" i="68"/>
  <c r="G37" i="21"/>
  <c r="X21" i="68"/>
  <c r="L46" i="74"/>
  <c r="P62" i="74"/>
  <c r="J44" i="68"/>
  <c r="Y8" i="1" l="1"/>
  <c r="Y7" i="1"/>
  <c r="N8" i="1"/>
  <c r="N7" i="1"/>
  <c r="L8" i="1"/>
  <c r="J8" i="1"/>
  <c r="J7" i="1"/>
  <c r="I7" i="1"/>
  <c r="H7" i="1"/>
  <c r="C22" i="6"/>
  <c r="C21" i="6"/>
  <c r="C20" i="6"/>
  <c r="AT9" i="68"/>
  <c r="AL10" i="68" s="1"/>
  <c r="E7" i="39"/>
  <c r="E9" i="39"/>
  <c r="E40" i="39"/>
  <c r="E48" i="39"/>
  <c r="I48" i="39"/>
  <c r="G48" i="39"/>
  <c r="I40" i="39"/>
  <c r="G40" i="39"/>
  <c r="I9" i="39"/>
  <c r="G9" i="39"/>
  <c r="I7" i="39"/>
  <c r="G7" i="39"/>
  <c r="C19" i="6" l="1"/>
  <c r="A3" i="3"/>
  <c r="C40" i="39" s="1"/>
  <c r="C11" i="4"/>
  <c r="D3" i="4"/>
  <c r="C20" i="68"/>
  <c r="F19" i="6" l="1"/>
  <c r="AH5" i="59"/>
  <c r="AG5" i="59"/>
  <c r="AE5" i="59"/>
  <c r="AF5" i="59" s="1"/>
  <c r="AD5" i="59"/>
  <c r="Q5" i="59"/>
  <c r="Q6" i="59"/>
  <c r="P5" i="59"/>
  <c r="P6" i="59"/>
  <c r="O5" i="59"/>
  <c r="O6" i="59"/>
  <c r="N5" i="59"/>
  <c r="N6" i="59"/>
  <c r="AH6" i="59"/>
  <c r="AG6" i="59"/>
  <c r="AE6" i="59"/>
  <c r="AF6" i="59" s="1"/>
  <c r="AD6" i="59"/>
  <c r="Q7" i="59"/>
  <c r="Q8" i="59"/>
  <c r="P7" i="59"/>
  <c r="P8" i="59"/>
  <c r="O7" i="59"/>
  <c r="O8" i="59"/>
  <c r="N7" i="59"/>
  <c r="N8" i="59"/>
  <c r="AH7" i="59"/>
  <c r="AG7" i="59"/>
  <c r="AE7" i="59"/>
  <c r="AF7" i="59" s="1"/>
  <c r="AD7" i="59"/>
  <c r="F25" i="12"/>
  <c r="AH8" i="59"/>
  <c r="AG8" i="59"/>
  <c r="AE8" i="59"/>
  <c r="AF8" i="59" s="1"/>
  <c r="AD8" i="59"/>
  <c r="M15" i="49"/>
  <c r="L15" i="49"/>
  <c r="K15" i="49"/>
  <c r="J15" i="49"/>
  <c r="I15" i="49"/>
  <c r="H15" i="49"/>
  <c r="G15" i="49"/>
  <c r="F15" i="49"/>
  <c r="E15" i="49"/>
  <c r="D15" i="49"/>
  <c r="C15" i="49"/>
  <c r="B15" i="49"/>
  <c r="AH9" i="59"/>
  <c r="AG9" i="59"/>
  <c r="AE9" i="59"/>
  <c r="AF9" i="59" s="1"/>
  <c r="AD9" i="59"/>
  <c r="Q9" i="59"/>
  <c r="P9" i="59"/>
  <c r="O9" i="59"/>
  <c r="N9" i="59"/>
  <c r="L3" i="59"/>
  <c r="AH3" i="59" s="1"/>
  <c r="K3" i="59"/>
  <c r="J3" i="59"/>
  <c r="AE3" i="59" s="1"/>
  <c r="AF3" i="59" s="1"/>
  <c r="I3" i="59"/>
  <c r="AH10" i="59"/>
  <c r="AG10" i="59"/>
  <c r="AE10" i="59"/>
  <c r="AF10" i="59" s="1"/>
  <c r="AD10" i="59"/>
  <c r="Q10" i="59"/>
  <c r="Q11" i="59"/>
  <c r="P10" i="59"/>
  <c r="P11" i="59"/>
  <c r="O10" i="59"/>
  <c r="O11" i="59"/>
  <c r="N10" i="59"/>
  <c r="N11" i="59"/>
  <c r="AH11" i="59"/>
  <c r="AG11" i="59"/>
  <c r="AE11" i="59"/>
  <c r="AF11" i="59" s="1"/>
  <c r="AD11" i="59"/>
  <c r="Q12" i="59"/>
  <c r="P12" i="59"/>
  <c r="O12" i="59"/>
  <c r="N12" i="59"/>
  <c r="M19" i="46"/>
  <c r="J50" i="15"/>
  <c r="D14" i="59"/>
  <c r="AH12" i="59"/>
  <c r="AG12" i="59"/>
  <c r="AE12" i="59"/>
  <c r="AF12" i="59" s="1"/>
  <c r="AD12" i="59"/>
  <c r="AE13" i="59"/>
  <c r="AF13" i="59" s="1"/>
  <c r="AG13" i="59"/>
  <c r="AH13" i="59"/>
  <c r="AD13" i="59"/>
  <c r="Q13" i="59"/>
  <c r="P13" i="59"/>
  <c r="E13" i="59" s="1"/>
  <c r="O13" i="59"/>
  <c r="N13" i="59"/>
  <c r="N14" i="59"/>
  <c r="Q14" i="59"/>
  <c r="P14" i="59"/>
  <c r="O14" i="59"/>
  <c r="K59" i="15"/>
  <c r="Q74" i="44"/>
  <c r="Q61" i="44"/>
  <c r="Q60" i="44"/>
  <c r="Q53" i="44"/>
  <c r="J51" i="44"/>
  <c r="J52" i="44" s="1"/>
  <c r="M48" i="44"/>
  <c r="A16" i="55"/>
  <c r="B67" i="63" s="1"/>
  <c r="A15" i="55"/>
  <c r="B66" i="63" s="1"/>
  <c r="A10" i="55"/>
  <c r="B61" i="63" s="1"/>
  <c r="A9" i="55"/>
  <c r="B60" i="63" s="1"/>
  <c r="A8" i="55"/>
  <c r="B59" i="63" s="1"/>
  <c r="A6" i="54"/>
  <c r="B49" i="63" s="1"/>
  <c r="A8" i="54"/>
  <c r="B53" i="63" s="1"/>
  <c r="A7" i="54"/>
  <c r="B51" i="63" s="1"/>
  <c r="A27" i="51"/>
  <c r="B20" i="63" s="1"/>
  <c r="Q15" i="59"/>
  <c r="O15" i="59"/>
  <c r="N16" i="59"/>
  <c r="O16" i="59"/>
  <c r="P16" i="59"/>
  <c r="Q16" i="59"/>
  <c r="N15" i="59"/>
  <c r="P15" i="59"/>
  <c r="K75" i="9"/>
  <c r="K6" i="4"/>
  <c r="O76" i="9" s="1"/>
  <c r="B22" i="31"/>
  <c r="E15" i="66"/>
  <c r="F15" i="66"/>
  <c r="E16" i="66"/>
  <c r="F16" i="66"/>
  <c r="E17" i="66"/>
  <c r="F17" i="66"/>
  <c r="E18" i="66"/>
  <c r="F18" i="66"/>
  <c r="E19" i="66"/>
  <c r="F19" i="66"/>
  <c r="E20" i="66"/>
  <c r="F20" i="66"/>
  <c r="E21" i="66"/>
  <c r="F21" i="66"/>
  <c r="E22" i="66"/>
  <c r="F22" i="66"/>
  <c r="E23" i="66"/>
  <c r="F23" i="66"/>
  <c r="B3" i="66"/>
  <c r="AD3" i="59"/>
  <c r="AG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H28" i="59"/>
  <c r="AG28" i="59"/>
  <c r="AE28" i="59"/>
  <c r="AF28" i="59" s="1"/>
  <c r="AD28" i="59"/>
  <c r="AD29" i="59"/>
  <c r="AE29" i="59"/>
  <c r="AF29" i="59" s="1"/>
  <c r="AG29" i="59"/>
  <c r="AH29" i="59"/>
  <c r="S2" i="31"/>
  <c r="M2" i="31"/>
  <c r="N2" i="31"/>
  <c r="O2" i="31"/>
  <c r="P2" i="31"/>
  <c r="Q2" i="31"/>
  <c r="R2" i="31"/>
  <c r="C13" i="59"/>
  <c r="C3" i="65"/>
  <c r="C1" i="65"/>
  <c r="N1" i="65" s="1"/>
  <c r="B76" i="63"/>
  <c r="M5" i="54"/>
  <c r="B41" i="63" s="1"/>
  <c r="A23" i="51"/>
  <c r="B17" i="63" s="1"/>
  <c r="Y12" i="46"/>
  <c r="AA9" i="46"/>
  <c r="AA12" i="46" s="1"/>
  <c r="AB9" i="46"/>
  <c r="AB10" i="46" s="1"/>
  <c r="AC9" i="46"/>
  <c r="AC10" i="46" s="1"/>
  <c r="AD9" i="46"/>
  <c r="AD10" i="46"/>
  <c r="AE9" i="46"/>
  <c r="AE12" i="46" s="1"/>
  <c r="AF9" i="46"/>
  <c r="AF10" i="46" s="1"/>
  <c r="AG9" i="46"/>
  <c r="AG12" i="46" s="1"/>
  <c r="AH9" i="46"/>
  <c r="AH10" i="46" s="1"/>
  <c r="AI9" i="46"/>
  <c r="AJ9" i="46"/>
  <c r="AJ10" i="46" s="1"/>
  <c r="Z9" i="46"/>
  <c r="Z12" i="46" s="1"/>
  <c r="Z10" i="46"/>
  <c r="AI10" i="46"/>
  <c r="AE10" i="46"/>
  <c r="Y10" i="46"/>
  <c r="AI12" i="46"/>
  <c r="B75" i="63"/>
  <c r="B73" i="63"/>
  <c r="A21" i="64"/>
  <c r="A27" i="64"/>
  <c r="A15" i="64"/>
  <c r="A14" i="64"/>
  <c r="A11" i="64"/>
  <c r="A3" i="64"/>
  <c r="A45" i="9"/>
  <c r="C45" i="9" s="1"/>
  <c r="O40" i="9" s="1"/>
  <c r="A44" i="9"/>
  <c r="K39" i="9" s="1"/>
  <c r="C57" i="10"/>
  <c r="A28" i="64" s="1"/>
  <c r="C56" i="10"/>
  <c r="C55" i="10"/>
  <c r="C54" i="10"/>
  <c r="A26" i="64" s="1"/>
  <c r="B44" i="63"/>
  <c r="B40" i="63"/>
  <c r="B30" i="63"/>
  <c r="B27" i="63"/>
  <c r="B25" i="63"/>
  <c r="A11" i="51"/>
  <c r="B10" i="63" s="1"/>
  <c r="A26" i="51"/>
  <c r="B19" i="63" s="1"/>
  <c r="B58"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G5" i="54"/>
  <c r="B34" i="63"/>
  <c r="E5" i="54"/>
  <c r="B32" i="63" s="1"/>
  <c r="R2" i="54"/>
  <c r="B24" i="63"/>
  <c r="B49" i="50"/>
  <c r="B5" i="63" s="1"/>
  <c r="B40" i="50"/>
  <c r="B3" i="63" s="1"/>
  <c r="I19" i="46"/>
  <c r="Q17" i="59"/>
  <c r="F17" i="59" s="1"/>
  <c r="V17" i="59" s="1"/>
  <c r="P17" i="59"/>
  <c r="E17" i="59" s="1"/>
  <c r="O17" i="59"/>
  <c r="C17" i="59" s="1"/>
  <c r="N17" i="59"/>
  <c r="D78" i="59"/>
  <c r="F77" i="59"/>
  <c r="F76" i="59" s="1"/>
  <c r="F75" i="59" s="1"/>
  <c r="E77" i="59"/>
  <c r="E76" i="59" s="1"/>
  <c r="E75" i="59" s="1"/>
  <c r="C77" i="59"/>
  <c r="C76" i="59" s="1"/>
  <c r="D77" i="59"/>
  <c r="B77" i="59"/>
  <c r="B76" i="59" s="1"/>
  <c r="B75" i="59" s="1"/>
  <c r="D74" i="59"/>
  <c r="F73" i="59"/>
  <c r="F72" i="59" s="1"/>
  <c r="F71" i="59" s="1"/>
  <c r="E73" i="59"/>
  <c r="E72" i="59" s="1"/>
  <c r="E71" i="59" s="1"/>
  <c r="C73" i="59"/>
  <c r="D73" i="59" s="1"/>
  <c r="B73" i="59"/>
  <c r="B72" i="59" s="1"/>
  <c r="B71" i="59" s="1"/>
  <c r="D70" i="59"/>
  <c r="Q69" i="59"/>
  <c r="P69" i="59"/>
  <c r="O69" i="59"/>
  <c r="N69" i="59"/>
  <c r="F69" i="59"/>
  <c r="F68" i="59" s="1"/>
  <c r="F67" i="59" s="1"/>
  <c r="E69" i="59"/>
  <c r="E68" i="59" s="1"/>
  <c r="E67" i="59" s="1"/>
  <c r="C69" i="59"/>
  <c r="T69" i="59" s="1"/>
  <c r="B69" i="59"/>
  <c r="S69" i="59" s="1"/>
  <c r="Q68" i="59"/>
  <c r="P68" i="59"/>
  <c r="O68" i="59"/>
  <c r="N68" i="59"/>
  <c r="B68" i="59"/>
  <c r="B67" i="59" s="1"/>
  <c r="Q67" i="59"/>
  <c r="P67" i="59"/>
  <c r="O67" i="59"/>
  <c r="N67" i="59"/>
  <c r="Q66" i="59"/>
  <c r="P66" i="59"/>
  <c r="O66" i="59"/>
  <c r="N66" i="59"/>
  <c r="D66" i="59"/>
  <c r="Q65" i="59"/>
  <c r="P65" i="59"/>
  <c r="O65" i="59"/>
  <c r="N65" i="59"/>
  <c r="F65" i="59"/>
  <c r="V65" i="59" s="1"/>
  <c r="E65" i="59"/>
  <c r="U65" i="59" s="1"/>
  <c r="C65" i="59"/>
  <c r="T65" i="59"/>
  <c r="B65" i="59"/>
  <c r="S65" i="59" s="1"/>
  <c r="Q64" i="59"/>
  <c r="P64" i="59"/>
  <c r="O64" i="59"/>
  <c r="N64" i="59"/>
  <c r="Q63" i="59"/>
  <c r="P63" i="59"/>
  <c r="O63" i="59"/>
  <c r="N63" i="59"/>
  <c r="Q62" i="59"/>
  <c r="P62" i="59"/>
  <c r="O62" i="59"/>
  <c r="N62" i="59"/>
  <c r="D62" i="59"/>
  <c r="Q61" i="59"/>
  <c r="P61" i="59"/>
  <c r="O61" i="59"/>
  <c r="N61" i="59"/>
  <c r="F61" i="59"/>
  <c r="F60" i="59" s="1"/>
  <c r="F59" i="59" s="1"/>
  <c r="E61" i="59"/>
  <c r="U61" i="59"/>
  <c r="C61" i="59"/>
  <c r="T61" i="59" s="1"/>
  <c r="B61" i="59"/>
  <c r="S61" i="59"/>
  <c r="Q60" i="59"/>
  <c r="P60" i="59"/>
  <c r="O60" i="59"/>
  <c r="N60" i="59"/>
  <c r="B60" i="59"/>
  <c r="B59" i="59" s="1"/>
  <c r="Q59" i="59"/>
  <c r="P59" i="59"/>
  <c r="O59" i="59"/>
  <c r="N59" i="59"/>
  <c r="Q58" i="59"/>
  <c r="P58" i="59"/>
  <c r="O58" i="59"/>
  <c r="N58" i="59"/>
  <c r="D58" i="59"/>
  <c r="F57" i="59"/>
  <c r="F56" i="59" s="1"/>
  <c r="E57" i="59"/>
  <c r="P57" i="59" s="1"/>
  <c r="C57" i="59"/>
  <c r="C56" i="59" s="1"/>
  <c r="B57" i="59"/>
  <c r="B56" i="59" s="1"/>
  <c r="N57" i="59"/>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D50" i="59"/>
  <c r="Q49" i="59"/>
  <c r="P49" i="59"/>
  <c r="O49" i="59"/>
  <c r="N49" i="59"/>
  <c r="Q48" i="59"/>
  <c r="P48" i="59"/>
  <c r="O48" i="59"/>
  <c r="N48" i="59"/>
  <c r="Q47" i="59"/>
  <c r="P47" i="59"/>
  <c r="O47" i="59"/>
  <c r="N47" i="59"/>
  <c r="Q46" i="59"/>
  <c r="F47" i="59"/>
  <c r="F48" i="59" s="1"/>
  <c r="F49" i="59" s="1"/>
  <c r="V49" i="59" s="1"/>
  <c r="P46" i="59"/>
  <c r="E47" i="59"/>
  <c r="O46" i="59"/>
  <c r="C47" i="59" s="1"/>
  <c r="C48" i="59" s="1"/>
  <c r="D48" i="59" s="1"/>
  <c r="N46" i="59"/>
  <c r="B47" i="59" s="1"/>
  <c r="D46" i="59"/>
  <c r="Q45" i="59"/>
  <c r="P45" i="59"/>
  <c r="O45" i="59"/>
  <c r="N45" i="59"/>
  <c r="Q44" i="59"/>
  <c r="P44" i="59"/>
  <c r="O44" i="59"/>
  <c r="N44" i="59"/>
  <c r="Q43" i="59"/>
  <c r="P43" i="59"/>
  <c r="O43" i="59"/>
  <c r="N43" i="59"/>
  <c r="Q42" i="59"/>
  <c r="F43" i="59" s="1"/>
  <c r="F44" i="59" s="1"/>
  <c r="F45" i="59" s="1"/>
  <c r="P42" i="59"/>
  <c r="E43"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O38" i="59"/>
  <c r="C39" i="59" s="1"/>
  <c r="N38" i="59"/>
  <c r="B39" i="59" s="1"/>
  <c r="D38" i="59"/>
  <c r="T37" i="59"/>
  <c r="Q37" i="59"/>
  <c r="P37" i="59"/>
  <c r="O37" i="59"/>
  <c r="N37" i="59"/>
  <c r="D37" i="59"/>
  <c r="Q36" i="59"/>
  <c r="P36" i="59"/>
  <c r="O36" i="59"/>
  <c r="N36" i="59"/>
  <c r="Q35" i="59"/>
  <c r="P35" i="59"/>
  <c r="O35" i="59"/>
  <c r="N35" i="59"/>
  <c r="Q34" i="59"/>
  <c r="F35" i="59" s="1"/>
  <c r="P34" i="59"/>
  <c r="E35" i="59" s="1"/>
  <c r="O34" i="59"/>
  <c r="C35" i="59" s="1"/>
  <c r="N34" i="59"/>
  <c r="B35" i="59" s="1"/>
  <c r="B36" i="59" s="1"/>
  <c r="D34" i="59"/>
  <c r="Q33" i="59"/>
  <c r="P33" i="59"/>
  <c r="O33" i="59"/>
  <c r="N33" i="59"/>
  <c r="Q32" i="59"/>
  <c r="P32" i="59"/>
  <c r="O32" i="59"/>
  <c r="N32" i="59"/>
  <c r="Q31" i="59"/>
  <c r="P31" i="59"/>
  <c r="O31" i="59"/>
  <c r="N31" i="59"/>
  <c r="Q30" i="59"/>
  <c r="F31" i="59" s="1"/>
  <c r="F32" i="59" s="1"/>
  <c r="F33" i="59" s="1"/>
  <c r="V33" i="59" s="1"/>
  <c r="P30" i="59"/>
  <c r="E31" i="59" s="1"/>
  <c r="E32" i="59" s="1"/>
  <c r="E33" i="59" s="1"/>
  <c r="U33" i="59" s="1"/>
  <c r="O30" i="59"/>
  <c r="C31" i="59" s="1"/>
  <c r="N30" i="59"/>
  <c r="B31" i="59"/>
  <c r="B32" i="59" s="1"/>
  <c r="B33" i="59" s="1"/>
  <c r="S33" i="59" s="1"/>
  <c r="D30" i="59"/>
  <c r="Q29" i="59"/>
  <c r="P29" i="59"/>
  <c r="O29" i="59"/>
  <c r="N29" i="59"/>
  <c r="Q28" i="59"/>
  <c r="AB28" i="59" s="1"/>
  <c r="P28" i="59"/>
  <c r="AA28" i="59" s="1"/>
  <c r="O28" i="59"/>
  <c r="Y28" i="59" s="1"/>
  <c r="Z28" i="59" s="1"/>
  <c r="N28" i="59"/>
  <c r="X28" i="59" s="1"/>
  <c r="Q27" i="59"/>
  <c r="P27" i="59"/>
  <c r="O27" i="59"/>
  <c r="N27" i="59"/>
  <c r="Q26" i="59"/>
  <c r="F27" i="59"/>
  <c r="P26" i="59"/>
  <c r="E27" i="59" s="1"/>
  <c r="O26" i="59"/>
  <c r="N26" i="59"/>
  <c r="D26" i="59"/>
  <c r="Q25" i="59"/>
  <c r="P25" i="59"/>
  <c r="O25" i="59"/>
  <c r="N25" i="59"/>
  <c r="Q24" i="59"/>
  <c r="AB24" i="59" s="1"/>
  <c r="P24" i="59"/>
  <c r="O24" i="59"/>
  <c r="N24" i="59"/>
  <c r="Q23" i="59"/>
  <c r="P23" i="59"/>
  <c r="O23" i="59"/>
  <c r="N23" i="59"/>
  <c r="Q22" i="59"/>
  <c r="AB22" i="59" s="1"/>
  <c r="P22" i="59"/>
  <c r="E23" i="59" s="1"/>
  <c r="O22" i="59"/>
  <c r="C23" i="59"/>
  <c r="N22" i="59"/>
  <c r="B23" i="59" s="1"/>
  <c r="B24" i="59" s="1"/>
  <c r="D22" i="59"/>
  <c r="Q21" i="59"/>
  <c r="P21" i="59"/>
  <c r="O21" i="59"/>
  <c r="N21" i="59"/>
  <c r="Q20" i="59"/>
  <c r="P20" i="59"/>
  <c r="O20" i="59"/>
  <c r="N20" i="59"/>
  <c r="X20" i="59" s="1"/>
  <c r="Q19" i="59"/>
  <c r="P19" i="59"/>
  <c r="O19" i="59"/>
  <c r="N19" i="59"/>
  <c r="Q18" i="59"/>
  <c r="F19" i="59" s="1"/>
  <c r="F20" i="59" s="1"/>
  <c r="F21" i="59" s="1"/>
  <c r="V21" i="59" s="1"/>
  <c r="P18" i="59"/>
  <c r="O18" i="59"/>
  <c r="N18" i="59"/>
  <c r="D18" i="59"/>
  <c r="V45" i="59"/>
  <c r="D23" i="59"/>
  <c r="O57" i="59"/>
  <c r="D57" i="59"/>
  <c r="E60" i="59"/>
  <c r="E59" i="59"/>
  <c r="C64" i="59"/>
  <c r="E64" i="59"/>
  <c r="E63" i="59" s="1"/>
  <c r="D65" i="59"/>
  <c r="C68" i="59"/>
  <c r="C67" i="59" s="1"/>
  <c r="D67" i="59" s="1"/>
  <c r="D69" i="59"/>
  <c r="U16" i="4"/>
  <c r="S16" i="4"/>
  <c r="Q16" i="4"/>
  <c r="O16" i="4"/>
  <c r="M16" i="4"/>
  <c r="K16" i="4"/>
  <c r="D68" i="59"/>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S18" i="35" s="1"/>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Q21" i="33"/>
  <c r="Z21" i="33" s="1"/>
  <c r="C21" i="33"/>
  <c r="D83" i="33"/>
  <c r="E83" i="33" s="1"/>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G20" i="20"/>
  <c r="B85" i="46" s="1"/>
  <c r="C22" i="20"/>
  <c r="B54" i="46" s="1"/>
  <c r="H18" i="35"/>
  <c r="J18" i="35"/>
  <c r="H21" i="37"/>
  <c r="J21" i="37"/>
  <c r="J21" i="34"/>
  <c r="H21" i="34"/>
  <c r="H21" i="33"/>
  <c r="H21" i="21"/>
  <c r="U21" i="21" s="1"/>
  <c r="J21" i="21"/>
  <c r="H27" i="40"/>
  <c r="F23" i="15"/>
  <c r="G17" i="11"/>
  <c r="F15" i="15"/>
  <c r="F17" i="15"/>
  <c r="F18" i="15"/>
  <c r="F20" i="15"/>
  <c r="F21" i="15"/>
  <c r="F33" i="15"/>
  <c r="F60" i="15" s="1"/>
  <c r="K2" i="4"/>
  <c r="K1" i="4"/>
  <c r="B1" i="4"/>
  <c r="B37" i="50" s="1"/>
  <c r="B2" i="63" s="1"/>
  <c r="C31" i="57"/>
  <c r="C32" i="57"/>
  <c r="I23" i="57"/>
  <c r="D20" i="57"/>
  <c r="I19" i="57"/>
  <c r="I18" i="57"/>
  <c r="I17" i="57"/>
  <c r="E15" i="57"/>
  <c r="I14" i="57"/>
  <c r="I13" i="57"/>
  <c r="I12" i="57"/>
  <c r="I15" i="57" s="1"/>
  <c r="I9" i="57"/>
  <c r="I8" i="57"/>
  <c r="I7" i="57"/>
  <c r="I6" i="57"/>
  <c r="I5" i="57"/>
  <c r="I4" i="57"/>
  <c r="I3" i="57"/>
  <c r="I10" i="57" s="1"/>
  <c r="C30" i="57"/>
  <c r="C112" i="9"/>
  <c r="C7" i="11"/>
  <c r="F80" i="46"/>
  <c r="H81" i="46" s="1"/>
  <c r="D1" i="46"/>
  <c r="F113" i="46"/>
  <c r="D99" i="46"/>
  <c r="D108" i="46" s="1"/>
  <c r="E99" i="46"/>
  <c r="E108" i="46" s="1"/>
  <c r="F99" i="46"/>
  <c r="F100" i="46" s="1"/>
  <c r="G99" i="46"/>
  <c r="G108" i="46"/>
  <c r="H99" i="46"/>
  <c r="H108" i="46" s="1"/>
  <c r="I99" i="46"/>
  <c r="I108" i="46" s="1"/>
  <c r="J99" i="46"/>
  <c r="J108" i="46" s="1"/>
  <c r="K99" i="46"/>
  <c r="K108" i="46" s="1"/>
  <c r="L99" i="46"/>
  <c r="L100" i="46" s="1"/>
  <c r="M99" i="46"/>
  <c r="M108" i="46" s="1"/>
  <c r="N99" i="46"/>
  <c r="N108" i="46" s="1"/>
  <c r="C99" i="46"/>
  <c r="C108" i="46" s="1"/>
  <c r="K58" i="46"/>
  <c r="J58" i="46"/>
  <c r="D58" i="46"/>
  <c r="K50" i="46"/>
  <c r="J50" i="46" s="1"/>
  <c r="D83" i="46"/>
  <c r="D77" i="46"/>
  <c r="B83" i="46"/>
  <c r="B82" i="46"/>
  <c r="B71" i="46"/>
  <c r="B60" i="46"/>
  <c r="B49" i="46"/>
  <c r="M87" i="46"/>
  <c r="N87" i="46" s="1"/>
  <c r="K87" i="46"/>
  <c r="J87" i="46"/>
  <c r="D87" i="46"/>
  <c r="M86" i="46"/>
  <c r="N86" i="46" s="1"/>
  <c r="D86" i="46"/>
  <c r="K86" i="46"/>
  <c r="J86" i="46" s="1"/>
  <c r="M85" i="46"/>
  <c r="N85" i="46"/>
  <c r="D85" i="46"/>
  <c r="K85" i="46"/>
  <c r="J85" i="46" s="1"/>
  <c r="M84" i="46"/>
  <c r="N84" i="46"/>
  <c r="K84" i="46"/>
  <c r="J84" i="46" s="1"/>
  <c r="M83" i="46"/>
  <c r="N83" i="46" s="1"/>
  <c r="K83" i="46"/>
  <c r="J83" i="46"/>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c r="K47" i="46"/>
  <c r="J47" i="46" s="1"/>
  <c r="D47" i="46"/>
  <c r="D51" i="46"/>
  <c r="D55" i="46"/>
  <c r="D80" i="46"/>
  <c r="D81" i="46"/>
  <c r="N73" i="46"/>
  <c r="D75" i="46"/>
  <c r="J66" i="46"/>
  <c r="D66" i="46"/>
  <c r="D50" i="46"/>
  <c r="D54" i="46"/>
  <c r="Q73" i="15"/>
  <c r="Q60" i="15"/>
  <c r="Q59" i="15"/>
  <c r="Q52" i="15"/>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J51" i="74" s="1"/>
  <c r="C42" i="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G87" i="3" s="1"/>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G79" i="3" s="1"/>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G49" i="3" s="1"/>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G22" i="3" s="1"/>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A144" i="3" s="1"/>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L138" i="3" s="1"/>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L113" i="3" s="1"/>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L294" i="3" s="1"/>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207" i="3"/>
  <c r="BS207" i="3"/>
  <c r="BR207" i="3"/>
  <c r="BQ207" i="3"/>
  <c r="BP207" i="3"/>
  <c r="BL207" i="3" s="1"/>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A309" i="3" s="1"/>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A453" i="3" s="1"/>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L447" i="3" s="1"/>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A435" i="3" s="1"/>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L427" i="3" s="1"/>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G405" i="3" s="1"/>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A397" i="3" s="1"/>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L25" i="4"/>
  <c r="C109" i="9"/>
  <c r="C145" i="21"/>
  <c r="J142" i="21"/>
  <c r="J140" i="21"/>
  <c r="K139" i="21"/>
  <c r="M87" i="21"/>
  <c r="L87" i="21"/>
  <c r="K87" i="21"/>
  <c r="J87" i="21"/>
  <c r="I87" i="21"/>
  <c r="H87" i="21"/>
  <c r="G87" i="21"/>
  <c r="F87" i="21"/>
  <c r="E87" i="21"/>
  <c r="D87" i="21"/>
  <c r="G2" i="46"/>
  <c r="H17" i="46" s="1"/>
  <c r="G19" i="46"/>
  <c r="R26" i="31"/>
  <c r="S26" i="31"/>
  <c r="R27" i="31"/>
  <c r="R28" i="31"/>
  <c r="S28" i="31"/>
  <c r="R29" i="31"/>
  <c r="R30" i="31"/>
  <c r="S30" i="31" s="1"/>
  <c r="R31" i="31"/>
  <c r="R32" i="31"/>
  <c r="S32" i="31"/>
  <c r="R33" i="31"/>
  <c r="R34" i="31"/>
  <c r="S34" i="3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c r="R53" i="31"/>
  <c r="R54" i="31"/>
  <c r="S54" i="31"/>
  <c r="R55" i="31"/>
  <c r="R56" i="31"/>
  <c r="S56" i="31" s="1"/>
  <c r="R57" i="31"/>
  <c r="R58" i="31"/>
  <c r="S58" i="31" s="1"/>
  <c r="R59" i="31"/>
  <c r="R60" i="31"/>
  <c r="S60" i="31" s="1"/>
  <c r="R61" i="31"/>
  <c r="R62" i="31"/>
  <c r="S62" i="31" s="1"/>
  <c r="R63" i="31"/>
  <c r="R64" i="31"/>
  <c r="S64" i="31" s="1"/>
  <c r="R65" i="31"/>
  <c r="R66" i="31"/>
  <c r="S66" i="31" s="1"/>
  <c r="R67" i="31"/>
  <c r="R68" i="31"/>
  <c r="S68" i="31"/>
  <c r="R69" i="31"/>
  <c r="R70" i="31"/>
  <c r="S70" i="31"/>
  <c r="R71" i="31"/>
  <c r="R72" i="31"/>
  <c r="S72" i="3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c r="R89" i="31"/>
  <c r="R90" i="31"/>
  <c r="S90" i="3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c r="R507" i="31"/>
  <c r="R508" i="31"/>
  <c r="S508" i="3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c r="F23" i="4"/>
  <c r="D19" i="4"/>
  <c r="C12" i="39" s="1"/>
  <c r="I19" i="4"/>
  <c r="H19" i="4"/>
  <c r="G19" i="4"/>
  <c r="F10" i="1" s="1"/>
  <c r="F9" i="1"/>
  <c r="AP9" i="1" s="1"/>
  <c r="F19" i="4"/>
  <c r="E19" i="4"/>
  <c r="F8" i="1" s="1"/>
  <c r="AP8" i="1" s="1"/>
  <c r="F7" i="1"/>
  <c r="G7" i="1" s="1"/>
  <c r="B2" i="52"/>
  <c r="B7" i="52" s="1"/>
  <c r="I2" i="46"/>
  <c r="N12" i="46" s="1"/>
  <c r="A7" i="46"/>
  <c r="F41" i="4"/>
  <c r="J52" i="40" s="1"/>
  <c r="H61" i="49"/>
  <c r="H39" i="46"/>
  <c r="H38" i="46"/>
  <c r="H37" i="46"/>
  <c r="H36" i="46"/>
  <c r="H35" i="46"/>
  <c r="H34" i="46"/>
  <c r="H33" i="46"/>
  <c r="J20" i="46"/>
  <c r="C18" i="46"/>
  <c r="F15" i="46"/>
  <c r="E15" i="46"/>
  <c r="D15" i="46"/>
  <c r="C15" i="46"/>
  <c r="C10" i="46"/>
  <c r="C11" i="46" s="1"/>
  <c r="C9" i="46"/>
  <c r="E19" i="6"/>
  <c r="E20" i="6"/>
  <c r="D9" i="12" s="1"/>
  <c r="D10" i="12" s="1"/>
  <c r="E21" i="6"/>
  <c r="E9" i="12" s="1"/>
  <c r="E22" i="6"/>
  <c r="E23" i="6"/>
  <c r="F9" i="12" s="1"/>
  <c r="M9" i="12" s="1"/>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c r="H36" i="40"/>
  <c r="AB36" i="40"/>
  <c r="J10" i="40"/>
  <c r="AC10" i="40" s="1"/>
  <c r="J11" i="40"/>
  <c r="AC11" i="40" s="1"/>
  <c r="J36" i="40"/>
  <c r="AC36" i="40" s="1"/>
  <c r="F10" i="39"/>
  <c r="AA10" i="39" s="1"/>
  <c r="F11" i="39"/>
  <c r="AA11" i="39" s="1"/>
  <c r="C25" i="39"/>
  <c r="F36" i="39"/>
  <c r="AA36" i="39" s="1"/>
  <c r="F40" i="39"/>
  <c r="AA40" i="39" s="1"/>
  <c r="F42" i="39"/>
  <c r="AA42" i="39" s="1"/>
  <c r="H10" i="39"/>
  <c r="AB10" i="39" s="1"/>
  <c r="H11" i="39"/>
  <c r="AB11" i="39"/>
  <c r="H36" i="39"/>
  <c r="AB36" i="39" s="1"/>
  <c r="H40" i="39"/>
  <c r="AB40" i="39" s="1"/>
  <c r="H42" i="39"/>
  <c r="AB42" i="39" s="1"/>
  <c r="J10" i="39"/>
  <c r="AC10" i="39" s="1"/>
  <c r="J11" i="39"/>
  <c r="AC11" i="39" s="1"/>
  <c r="J36" i="39"/>
  <c r="AC36" i="39" s="1"/>
  <c r="J40" i="39"/>
  <c r="AC40" i="39" s="1"/>
  <c r="J42" i="39"/>
  <c r="AC42" i="39" s="1"/>
  <c r="F35" i="44"/>
  <c r="M21" i="44"/>
  <c r="F20" i="44"/>
  <c r="C6"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c r="E55" i="34"/>
  <c r="F55" i="34" s="1"/>
  <c r="I50" i="40"/>
  <c r="J50" i="40" s="1"/>
  <c r="G50" i="40"/>
  <c r="H50" i="40" s="1"/>
  <c r="E50" i="40"/>
  <c r="F50" i="40" s="1"/>
  <c r="I55" i="39"/>
  <c r="J55" i="39" s="1"/>
  <c r="G55" i="39"/>
  <c r="H55" i="39" s="1"/>
  <c r="E55" i="39"/>
  <c r="F55" i="39" s="1"/>
  <c r="I42" i="36"/>
  <c r="J42" i="36" s="1"/>
  <c r="G42" i="36"/>
  <c r="H42" i="36" s="1"/>
  <c r="E42" i="36"/>
  <c r="F42" i="36"/>
  <c r="I44" i="35"/>
  <c r="J44" i="35" s="1"/>
  <c r="G44" i="35"/>
  <c r="H44" i="35"/>
  <c r="E44" i="35"/>
  <c r="F44" i="35"/>
  <c r="I54" i="33"/>
  <c r="J54" i="33" s="1"/>
  <c r="G54" i="33"/>
  <c r="H54" i="33" s="1"/>
  <c r="E54" i="33"/>
  <c r="F54" i="33" s="1"/>
  <c r="H14" i="3"/>
  <c r="G14" i="3" s="1"/>
  <c r="AC14" i="3"/>
  <c r="H15" i="3"/>
  <c r="G15" i="3" s="1"/>
  <c r="AC15" i="3"/>
  <c r="H16" i="3"/>
  <c r="G16" i="3" s="1"/>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A483" i="3" s="1"/>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L487" i="3" s="1"/>
  <c r="BS487" i="3"/>
  <c r="BT487" i="3"/>
  <c r="H488" i="3"/>
  <c r="AC488" i="3"/>
  <c r="G488" i="3" s="1"/>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L489" i="3" s="1"/>
  <c r="BT489" i="3"/>
  <c r="H490" i="3"/>
  <c r="AC490" i="3"/>
  <c r="BB490" i="3"/>
  <c r="BC490" i="3"/>
  <c r="BD490" i="3"/>
  <c r="BE490" i="3"/>
  <c r="BF490" i="3"/>
  <c r="BA490" i="3" s="1"/>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G492" i="3" s="1"/>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G494" i="3" s="1"/>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L495" i="3" s="1"/>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BL496" i="3" s="1"/>
  <c r="H497" i="3"/>
  <c r="AC497" i="3"/>
  <c r="BB497" i="3"/>
  <c r="BC497" i="3"/>
  <c r="BD497" i="3"/>
  <c r="BE497" i="3"/>
  <c r="BF497" i="3"/>
  <c r="BG497" i="3"/>
  <c r="BA497" i="3" s="1"/>
  <c r="BH497" i="3"/>
  <c r="BI497" i="3"/>
  <c r="BJ497" i="3"/>
  <c r="BK497" i="3"/>
  <c r="BM497" i="3"/>
  <c r="BN497" i="3"/>
  <c r="BO497" i="3"/>
  <c r="BP497" i="3"/>
  <c r="BL497" i="3" s="1"/>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BL505" i="3" s="1"/>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A507" i="3" s="1"/>
  <c r="BF507" i="3"/>
  <c r="BG507" i="3"/>
  <c r="BH507" i="3"/>
  <c r="BI507" i="3"/>
  <c r="BJ507" i="3"/>
  <c r="BK507" i="3"/>
  <c r="BM507" i="3"/>
  <c r="BN507" i="3"/>
  <c r="BL507" i="3" s="1"/>
  <c r="AZ507" i="3" s="1"/>
  <c r="BO507" i="3"/>
  <c r="BP507" i="3"/>
  <c r="BQ507" i="3"/>
  <c r="BR507" i="3"/>
  <c r="BS507" i="3"/>
  <c r="BT507" i="3"/>
  <c r="H508" i="3"/>
  <c r="AC508" i="3"/>
  <c r="G508" i="3" s="1"/>
  <c r="BB508" i="3"/>
  <c r="BC508" i="3"/>
  <c r="BD508" i="3"/>
  <c r="BE508" i="3"/>
  <c r="BF508" i="3"/>
  <c r="BG508" i="3"/>
  <c r="BH508" i="3"/>
  <c r="BI508" i="3"/>
  <c r="BA508" i="3" s="1"/>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L509" i="3" s="1"/>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A511" i="3" s="1"/>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L512" i="3" s="1"/>
  <c r="BP512" i="3"/>
  <c r="BR512" i="3"/>
  <c r="BS512" i="3"/>
  <c r="BT512" i="3"/>
  <c r="H513" i="3"/>
  <c r="G513" i="3" s="1"/>
  <c r="AC513" i="3"/>
  <c r="BB513" i="3"/>
  <c r="BC513" i="3"/>
  <c r="BD513" i="3"/>
  <c r="BE513" i="3"/>
  <c r="BF513" i="3"/>
  <c r="BG513" i="3"/>
  <c r="BH513" i="3"/>
  <c r="BI513" i="3"/>
  <c r="BJ513" i="3"/>
  <c r="BK513" i="3"/>
  <c r="BM513" i="3"/>
  <c r="BN513" i="3"/>
  <c r="BO513" i="3"/>
  <c r="BP513" i="3"/>
  <c r="BQ513" i="3"/>
  <c r="BL513" i="3" s="1"/>
  <c r="BR513" i="3"/>
  <c r="BS513" i="3"/>
  <c r="BT513" i="3"/>
  <c r="H514" i="3"/>
  <c r="AC514" i="3"/>
  <c r="BB514" i="3"/>
  <c r="BC514" i="3"/>
  <c r="BD514" i="3"/>
  <c r="BA514" i="3" s="1"/>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A516" i="3" s="1"/>
  <c r="BF516" i="3"/>
  <c r="BG516" i="3"/>
  <c r="BH516" i="3"/>
  <c r="BI516" i="3"/>
  <c r="BJ516" i="3"/>
  <c r="BK516" i="3"/>
  <c r="BM516" i="3"/>
  <c r="BN516" i="3"/>
  <c r="BL516" i="3" s="1"/>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A518" i="3" s="1"/>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A521" i="3" s="1"/>
  <c r="BE521" i="3"/>
  <c r="BF521" i="3"/>
  <c r="BG521" i="3"/>
  <c r="BH521" i="3"/>
  <c r="BI521" i="3"/>
  <c r="BJ521" i="3"/>
  <c r="BK521" i="3"/>
  <c r="BM521" i="3"/>
  <c r="BL521" i="3" s="1"/>
  <c r="AZ521" i="3" s="1"/>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L522" i="3" s="1"/>
  <c r="BS522" i="3"/>
  <c r="BT522" i="3"/>
  <c r="H523" i="3"/>
  <c r="G523" i="3" s="1"/>
  <c r="AC523" i="3"/>
  <c r="BB523" i="3"/>
  <c r="BC523" i="3"/>
  <c r="BD523" i="3"/>
  <c r="BE523" i="3"/>
  <c r="BF523" i="3"/>
  <c r="BG523" i="3"/>
  <c r="BH523" i="3"/>
  <c r="BI523" i="3"/>
  <c r="BJ523" i="3"/>
  <c r="BK523" i="3"/>
  <c r="BM523" i="3"/>
  <c r="BN523" i="3"/>
  <c r="BL523" i="3" s="1"/>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A525" i="3" s="1"/>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L529" i="3" s="1"/>
  <c r="BR529" i="3"/>
  <c r="BS529" i="3"/>
  <c r="BT529" i="3"/>
  <c r="H530" i="3"/>
  <c r="AC530" i="3"/>
  <c r="BB530" i="3"/>
  <c r="BC530" i="3"/>
  <c r="BD530" i="3"/>
  <c r="BE530" i="3"/>
  <c r="BF530" i="3"/>
  <c r="BG530" i="3"/>
  <c r="BH530" i="3"/>
  <c r="BI530" i="3"/>
  <c r="BJ530" i="3"/>
  <c r="BK530" i="3"/>
  <c r="BM530" i="3"/>
  <c r="BL530" i="3" s="1"/>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A532" i="3" s="1"/>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G534" i="3" s="1"/>
  <c r="BB534" i="3"/>
  <c r="BC534" i="3"/>
  <c r="BD534" i="3"/>
  <c r="BE534" i="3"/>
  <c r="BF534" i="3"/>
  <c r="BG534" i="3"/>
  <c r="BH534" i="3"/>
  <c r="BI534" i="3"/>
  <c r="BJ534" i="3"/>
  <c r="BK534" i="3"/>
  <c r="BM534" i="3"/>
  <c r="BN534" i="3"/>
  <c r="BO534" i="3"/>
  <c r="BL534" i="3" s="1"/>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A536" i="3" s="1"/>
  <c r="BH536" i="3"/>
  <c r="BI536" i="3"/>
  <c r="BJ536" i="3"/>
  <c r="BK536" i="3"/>
  <c r="BM536" i="3"/>
  <c r="BN536" i="3"/>
  <c r="BO536" i="3"/>
  <c r="BP536" i="3"/>
  <c r="BR536" i="3"/>
  <c r="BS536" i="3"/>
  <c r="BT536" i="3"/>
  <c r="H537" i="3"/>
  <c r="AC537" i="3"/>
  <c r="BB537" i="3"/>
  <c r="BC537" i="3"/>
  <c r="BD537" i="3"/>
  <c r="BA537" i="3" s="1"/>
  <c r="BE537" i="3"/>
  <c r="BF537" i="3"/>
  <c r="BG537" i="3"/>
  <c r="BH537" i="3"/>
  <c r="BI537" i="3"/>
  <c r="BJ537" i="3"/>
  <c r="BK537" i="3"/>
  <c r="BM537" i="3"/>
  <c r="BL537" i="3" s="1"/>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A539" i="3" s="1"/>
  <c r="BF539" i="3"/>
  <c r="BG539" i="3"/>
  <c r="BH539" i="3"/>
  <c r="BI539" i="3"/>
  <c r="BJ539" i="3"/>
  <c r="BK539" i="3"/>
  <c r="BM539" i="3"/>
  <c r="BN539" i="3"/>
  <c r="BL539" i="3" s="1"/>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A544" i="3" s="1"/>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L545" i="3" s="1"/>
  <c r="BS545" i="3"/>
  <c r="BT545" i="3"/>
  <c r="H546" i="3"/>
  <c r="G546" i="3" s="1"/>
  <c r="AC546" i="3"/>
  <c r="BB546" i="3"/>
  <c r="BC546" i="3"/>
  <c r="BD546" i="3"/>
  <c r="BE546" i="3"/>
  <c r="BF546" i="3"/>
  <c r="BG546" i="3"/>
  <c r="BH546" i="3"/>
  <c r="BI546" i="3"/>
  <c r="BJ546" i="3"/>
  <c r="BK546" i="3"/>
  <c r="BM546" i="3"/>
  <c r="BN546" i="3"/>
  <c r="BL546" i="3" s="1"/>
  <c r="BO546" i="3"/>
  <c r="BP546" i="3"/>
  <c r="BR546" i="3"/>
  <c r="BS546" i="3"/>
  <c r="BT546" i="3"/>
  <c r="H547" i="3"/>
  <c r="AC547" i="3"/>
  <c r="G547" i="3"/>
  <c r="BB547" i="3"/>
  <c r="BC547" i="3"/>
  <c r="BD547" i="3"/>
  <c r="BE547" i="3"/>
  <c r="BF547" i="3"/>
  <c r="BG547" i="3"/>
  <c r="BH547" i="3"/>
  <c r="BI547" i="3"/>
  <c r="BA547" i="3" s="1"/>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L555" i="3" s="1"/>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A564" i="3" s="1"/>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L565" i="3" s="1"/>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A568" i="3" s="1"/>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G111" i="21"/>
  <c r="H111" i="21"/>
  <c r="B112" i="39"/>
  <c r="F37" i="39" s="1"/>
  <c r="S37" i="39" s="1"/>
  <c r="B114" i="39"/>
  <c r="F38" i="39" s="1"/>
  <c r="AA38" i="39" s="1"/>
  <c r="J30" i="36"/>
  <c r="H30" i="36"/>
  <c r="U30" i="36" s="1"/>
  <c r="F30" i="36"/>
  <c r="AA30" i="36"/>
  <c r="C26" i="35"/>
  <c r="C79" i="35" s="1"/>
  <c r="J31" i="35"/>
  <c r="AC31" i="35" s="1"/>
  <c r="H31" i="35"/>
  <c r="F31" i="35"/>
  <c r="AA31" i="35" s="1"/>
  <c r="D87" i="35"/>
  <c r="E87" i="35" s="1"/>
  <c r="F87" i="35" s="1"/>
  <c r="G87" i="35" s="1"/>
  <c r="H87" i="35" s="1"/>
  <c r="I87" i="35" s="1"/>
  <c r="J87" i="35" s="1"/>
  <c r="K87" i="35" s="1"/>
  <c r="L87" i="35" s="1"/>
  <c r="M87" i="35" s="1"/>
  <c r="H34" i="37"/>
  <c r="D101" i="37"/>
  <c r="F34" i="37"/>
  <c r="D99" i="37"/>
  <c r="E99" i="37" s="1"/>
  <c r="F99" i="37" s="1"/>
  <c r="G99" i="37" s="1"/>
  <c r="H42" i="34"/>
  <c r="J42" i="34"/>
  <c r="F42" i="34"/>
  <c r="S42" i="34" s="1"/>
  <c r="J38" i="34"/>
  <c r="D114" i="34"/>
  <c r="F38" i="34"/>
  <c r="D112" i="34"/>
  <c r="E112" i="34" s="1"/>
  <c r="F112" i="34" s="1"/>
  <c r="G112" i="34" s="1"/>
  <c r="H112" i="34" s="1"/>
  <c r="I112" i="34" s="1"/>
  <c r="J112" i="34" s="1"/>
  <c r="K112" i="34" s="1"/>
  <c r="L112" i="34" s="1"/>
  <c r="M112" i="34" s="1"/>
  <c r="F40" i="33"/>
  <c r="AA40" i="33" s="1"/>
  <c r="J41" i="33"/>
  <c r="D113" i="33"/>
  <c r="E113" i="33" s="1"/>
  <c r="F113" i="33" s="1"/>
  <c r="G113" i="33" s="1"/>
  <c r="H113" i="33" s="1"/>
  <c r="I113" i="33" s="1"/>
  <c r="J113" i="33" s="1"/>
  <c r="K113" i="33" s="1"/>
  <c r="L113" i="33" s="1"/>
  <c r="M113" i="33" s="1"/>
  <c r="F37" i="33"/>
  <c r="AA37" i="33" s="1"/>
  <c r="D111" i="33"/>
  <c r="E111" i="33" s="1"/>
  <c r="F111" i="33" s="1"/>
  <c r="G111" i="33"/>
  <c r="H111" i="33" s="1"/>
  <c r="I111" i="33" s="1"/>
  <c r="J111" i="33" s="1"/>
  <c r="K111" i="33" s="1"/>
  <c r="L111" i="33" s="1"/>
  <c r="M111" i="33" s="1"/>
  <c r="S515" i="31"/>
  <c r="S517" i="31"/>
  <c r="S519" i="31"/>
  <c r="S521" i="31"/>
  <c r="S523" i="31"/>
  <c r="F41" i="21"/>
  <c r="J41" i="21"/>
  <c r="H41" i="21"/>
  <c r="U41" i="21"/>
  <c r="D83" i="39"/>
  <c r="E83" i="39" s="1"/>
  <c r="F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B103" i="40"/>
  <c r="D102" i="40"/>
  <c r="E102" i="40" s="1"/>
  <c r="F102" i="40" s="1"/>
  <c r="G102" i="40"/>
  <c r="H102" i="40" s="1"/>
  <c r="I102" i="40" s="1"/>
  <c r="J102" i="40" s="1"/>
  <c r="K102" i="40" s="1"/>
  <c r="L102" i="40" s="1"/>
  <c r="M102" i="40" s="1"/>
  <c r="D100" i="40"/>
  <c r="E100" i="40"/>
  <c r="D98" i="40"/>
  <c r="E98" i="40" s="1"/>
  <c r="B97" i="40"/>
  <c r="D94" i="40"/>
  <c r="D92" i="40"/>
  <c r="D90" i="40"/>
  <c r="H21" i="40"/>
  <c r="AB21" i="40" s="1"/>
  <c r="D88" i="40"/>
  <c r="E88" i="40" s="1"/>
  <c r="D86" i="40"/>
  <c r="E86" i="40" s="1"/>
  <c r="J17" i="40"/>
  <c r="B83" i="40"/>
  <c r="F16" i="40" s="1"/>
  <c r="AA16" i="40" s="1"/>
  <c r="B81" i="40"/>
  <c r="B79"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c r="Q38" i="40"/>
  <c r="Z38" i="40" s="1"/>
  <c r="Q37" i="40"/>
  <c r="Z37" i="40" s="1"/>
  <c r="Q36" i="40"/>
  <c r="Z36" i="40" s="1"/>
  <c r="Q35" i="40"/>
  <c r="Z35" i="40" s="1"/>
  <c r="Q34" i="40"/>
  <c r="Z34" i="40" s="1"/>
  <c r="Q33" i="40"/>
  <c r="Z33" i="40" s="1"/>
  <c r="Q32" i="40"/>
  <c r="Z32" i="40"/>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J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J46" i="39" s="1"/>
  <c r="B129" i="39"/>
  <c r="F45" i="39" s="1"/>
  <c r="D128" i="39"/>
  <c r="D124" i="39"/>
  <c r="E124" i="39" s="1"/>
  <c r="F124" i="39" s="1"/>
  <c r="G124" i="39" s="1"/>
  <c r="H124" i="39" s="1"/>
  <c r="I124" i="39" s="1"/>
  <c r="J124" i="39" s="1"/>
  <c r="K124" i="39" s="1"/>
  <c r="L124" i="39" s="1"/>
  <c r="M124" i="39" s="1"/>
  <c r="B106" i="39"/>
  <c r="D99" i="39"/>
  <c r="E99" i="39" s="1"/>
  <c r="F99" i="39" s="1"/>
  <c r="G99" i="39" s="1"/>
  <c r="D97" i="39"/>
  <c r="F23" i="39" s="1"/>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s="1"/>
  <c r="AC39" i="37" s="1"/>
  <c r="B108" i="37"/>
  <c r="C23" i="37"/>
  <c r="C19" i="37"/>
  <c r="C17" i="37"/>
  <c r="C15" i="37"/>
  <c r="B112" i="37"/>
  <c r="D107" i="37"/>
  <c r="E107" i="37"/>
  <c r="F107" i="37" s="1"/>
  <c r="G107" i="37" s="1"/>
  <c r="H107" i="37" s="1"/>
  <c r="I107" i="37" s="1"/>
  <c r="J107" i="37" s="1"/>
  <c r="K107" i="37" s="1"/>
  <c r="L107" i="37" s="1"/>
  <c r="M107" i="37" s="1"/>
  <c r="D105" i="37"/>
  <c r="E105" i="37"/>
  <c r="H36" i="37"/>
  <c r="U36" i="37" s="1"/>
  <c r="D103" i="37"/>
  <c r="E103" i="37" s="1"/>
  <c r="J35" i="37"/>
  <c r="AC35" i="37" s="1"/>
  <c r="F97" i="37"/>
  <c r="E97" i="37"/>
  <c r="D97" i="37"/>
  <c r="C97" i="37"/>
  <c r="D96" i="37"/>
  <c r="E96" i="37" s="1"/>
  <c r="D94" i="37"/>
  <c r="E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D75" i="37"/>
  <c r="E75" i="37" s="1"/>
  <c r="F75" i="37"/>
  <c r="D73" i="37"/>
  <c r="E73" i="37" s="1"/>
  <c r="F73" i="37" s="1"/>
  <c r="G73" i="37" s="1"/>
  <c r="D71" i="37"/>
  <c r="E71" i="37" s="1"/>
  <c r="F71" i="37" s="1"/>
  <c r="G71" i="37" s="1"/>
  <c r="F15" i="37"/>
  <c r="AA15" i="37" s="1"/>
  <c r="B68" i="37"/>
  <c r="B66" i="37"/>
  <c r="B64" i="37"/>
  <c r="J12" i="37" s="1"/>
  <c r="D63" i="37"/>
  <c r="E63" i="37" s="1"/>
  <c r="F63" i="37" s="1"/>
  <c r="G63" i="37"/>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c r="Q37" i="37"/>
  <c r="Z37" i="37" s="1"/>
  <c r="Q36" i="37"/>
  <c r="Z36" i="37" s="1"/>
  <c r="Q35" i="37"/>
  <c r="Z35" i="37" s="1"/>
  <c r="Q34" i="37"/>
  <c r="Z34" i="37" s="1"/>
  <c r="Q33" i="37"/>
  <c r="Z33" i="37" s="1"/>
  <c r="Q32" i="37"/>
  <c r="Z32" i="37" s="1"/>
  <c r="Q31" i="37"/>
  <c r="Z31" i="37"/>
  <c r="J31" i="37"/>
  <c r="Q30" i="37"/>
  <c r="Z30" i="37" s="1"/>
  <c r="J30" i="37"/>
  <c r="W30" i="37" s="1"/>
  <c r="H30" i="37"/>
  <c r="F30" i="37"/>
  <c r="Q29" i="37"/>
  <c r="Z29" i="37" s="1"/>
  <c r="H29" i="37"/>
  <c r="U29" i="37" s="1"/>
  <c r="Q28" i="37"/>
  <c r="Z28" i="37" s="1"/>
  <c r="Q27" i="37"/>
  <c r="Z27" i="37" s="1"/>
  <c r="Q26" i="37"/>
  <c r="Z26" i="37" s="1"/>
  <c r="H26" i="37"/>
  <c r="AB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C7" i="37"/>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J33" i="36" s="1"/>
  <c r="W33" i="36" s="1"/>
  <c r="B91" i="36"/>
  <c r="F32" i="36" s="1"/>
  <c r="S32" i="36" s="1"/>
  <c r="B95" i="36"/>
  <c r="D83" i="36"/>
  <c r="E83" i="36" s="1"/>
  <c r="F83" i="36" s="1"/>
  <c r="G83" i="36" s="1"/>
  <c r="H83" i="36" s="1"/>
  <c r="I83" i="36" s="1"/>
  <c r="J83" i="36"/>
  <c r="K83" i="36" s="1"/>
  <c r="L83" i="36" s="1"/>
  <c r="M83" i="36" s="1"/>
  <c r="D78" i="36"/>
  <c r="E78" i="36" s="1"/>
  <c r="F78" i="36" s="1"/>
  <c r="G78" i="36" s="1"/>
  <c r="H78" i="36" s="1"/>
  <c r="I78" i="36" s="1"/>
  <c r="J78" i="36" s="1"/>
  <c r="K78" i="36" s="1"/>
  <c r="L78" i="36" s="1"/>
  <c r="M78" i="36" s="1"/>
  <c r="J26" i="36"/>
  <c r="W26" i="36" s="1"/>
  <c r="B75" i="36"/>
  <c r="F25" i="36" s="1"/>
  <c r="AA25" i="36" s="1"/>
  <c r="B73" i="36"/>
  <c r="B71" i="36"/>
  <c r="F23" i="36" s="1"/>
  <c r="AA23" i="36" s="1"/>
  <c r="D70" i="36"/>
  <c r="H22" i="36"/>
  <c r="AB22" i="36" s="1"/>
  <c r="D68" i="36"/>
  <c r="E68" i="36" s="1"/>
  <c r="D64" i="36"/>
  <c r="E64" i="36" s="1"/>
  <c r="F64" i="36" s="1"/>
  <c r="G64" i="36" s="1"/>
  <c r="J16" i="36"/>
  <c r="AC16" i="36" s="1"/>
  <c r="D62" i="36"/>
  <c r="E62" i="36" s="1"/>
  <c r="B59" i="36"/>
  <c r="J13" i="36" s="1"/>
  <c r="W13" i="36" s="1"/>
  <c r="B57" i="36"/>
  <c r="B55" i="36"/>
  <c r="J11" i="36" s="1"/>
  <c r="W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s="1"/>
  <c r="H26" i="36"/>
  <c r="Q25" i="36"/>
  <c r="Z25" i="36"/>
  <c r="Q24" i="36"/>
  <c r="Z24" i="36" s="1"/>
  <c r="H24" i="36"/>
  <c r="Q23" i="36"/>
  <c r="Z23" i="36" s="1"/>
  <c r="Q22" i="36"/>
  <c r="Z22" i="36" s="1"/>
  <c r="J22" i="36"/>
  <c r="AC22" i="36"/>
  <c r="Q20" i="36"/>
  <c r="Z20" i="36" s="1"/>
  <c r="Q16" i="36"/>
  <c r="Z16" i="36" s="1"/>
  <c r="Q14" i="36"/>
  <c r="Z14" i="36" s="1"/>
  <c r="Q13" i="36"/>
  <c r="Z13" i="36" s="1"/>
  <c r="Q12" i="36"/>
  <c r="Z12" i="36" s="1"/>
  <c r="Q11" i="36"/>
  <c r="Z11" i="36" s="1"/>
  <c r="Q10" i="36"/>
  <c r="Z10" i="36"/>
  <c r="F10" i="36"/>
  <c r="AA10" i="36"/>
  <c r="Q9" i="36"/>
  <c r="Z9" i="36" s="1"/>
  <c r="J8" i="36"/>
  <c r="AC8" i="36" s="1"/>
  <c r="H8" i="36"/>
  <c r="U8" i="36" s="1"/>
  <c r="F8" i="36"/>
  <c r="AA8" i="36" s="1"/>
  <c r="C7" i="36"/>
  <c r="C46" i="36" s="1"/>
  <c r="D46" i="36" s="1"/>
  <c r="D89" i="35"/>
  <c r="E89" i="35" s="1"/>
  <c r="F89" i="35" s="1"/>
  <c r="G89" i="35" s="1"/>
  <c r="H89" i="35" s="1"/>
  <c r="I89" i="35" s="1"/>
  <c r="J89" i="35" s="1"/>
  <c r="K89" i="35" s="1"/>
  <c r="L89" i="35" s="1"/>
  <c r="M89" i="35" s="1"/>
  <c r="H30" i="35"/>
  <c r="U30" i="35"/>
  <c r="M90" i="35"/>
  <c r="L90" i="35"/>
  <c r="K90" i="35"/>
  <c r="J90" i="35"/>
  <c r="I90" i="35"/>
  <c r="H90" i="35"/>
  <c r="G90" i="35"/>
  <c r="F90" i="35"/>
  <c r="E90" i="35"/>
  <c r="D90" i="35"/>
  <c r="C90" i="35"/>
  <c r="F85" i="35"/>
  <c r="E85" i="35"/>
  <c r="D85" i="35"/>
  <c r="C85" i="35"/>
  <c r="J27" i="35"/>
  <c r="H27" i="35"/>
  <c r="F27" i="35"/>
  <c r="AA27" i="35" s="1"/>
  <c r="J22" i="35"/>
  <c r="AC22" i="35" s="1"/>
  <c r="B101" i="35"/>
  <c r="B99" i="35"/>
  <c r="H35" i="35" s="1"/>
  <c r="B97" i="35"/>
  <c r="B77" i="35"/>
  <c r="B75" i="35"/>
  <c r="J24" i="35" s="1"/>
  <c r="W24" i="35" s="1"/>
  <c r="B73" i="35"/>
  <c r="B57" i="35"/>
  <c r="B61" i="35"/>
  <c r="B59" i="35"/>
  <c r="J12" i="35" s="1"/>
  <c r="W12" i="35" s="1"/>
  <c r="H12" i="35"/>
  <c r="B131" i="34"/>
  <c r="B129" i="34"/>
  <c r="B127" i="34"/>
  <c r="H45" i="34" s="1"/>
  <c r="U45" i="34" s="1"/>
  <c r="B99" i="34"/>
  <c r="B97" i="34"/>
  <c r="B95" i="34"/>
  <c r="F30" i="34" s="1"/>
  <c r="S30" i="34" s="1"/>
  <c r="B93" i="34"/>
  <c r="B75" i="34"/>
  <c r="J14" i="34" s="1"/>
  <c r="W14" i="34" s="1"/>
  <c r="B73" i="34"/>
  <c r="B71" i="34"/>
  <c r="B130" i="33"/>
  <c r="H46" i="33" s="1"/>
  <c r="AB46" i="33" s="1"/>
  <c r="B128" i="33"/>
  <c r="H45" i="33"/>
  <c r="U45" i="33" s="1"/>
  <c r="B126" i="33"/>
  <c r="B98" i="33"/>
  <c r="F31" i="33"/>
  <c r="AA31" i="33" s="1"/>
  <c r="B96" i="33"/>
  <c r="B94" i="33"/>
  <c r="J29" i="33" s="1"/>
  <c r="W29" i="33" s="1"/>
  <c r="B74" i="33"/>
  <c r="B72" i="33"/>
  <c r="F13" i="33" s="1"/>
  <c r="S13" i="33" s="1"/>
  <c r="B70" i="33"/>
  <c r="D96" i="35"/>
  <c r="E96" i="35"/>
  <c r="F96" i="35" s="1"/>
  <c r="G96" i="35" s="1"/>
  <c r="D94" i="35"/>
  <c r="D84" i="35"/>
  <c r="E84" i="35" s="1"/>
  <c r="F84" i="35" s="1"/>
  <c r="G84" i="35" s="1"/>
  <c r="H84" i="35" s="1"/>
  <c r="I84" i="35" s="1"/>
  <c r="J84" i="35" s="1"/>
  <c r="K84" i="35" s="1"/>
  <c r="L84" i="35" s="1"/>
  <c r="M84" i="35" s="1"/>
  <c r="D80" i="35"/>
  <c r="D72" i="35"/>
  <c r="D70" i="35"/>
  <c r="E70" i="35"/>
  <c r="F70" i="35" s="1"/>
  <c r="G70" i="35" s="1"/>
  <c r="D66" i="35"/>
  <c r="E66" i="35" s="1"/>
  <c r="F66" i="35" s="1"/>
  <c r="G66" i="35" s="1"/>
  <c r="D64" i="35"/>
  <c r="E64" i="35" s="1"/>
  <c r="F64" i="35"/>
  <c r="G64" i="35" s="1"/>
  <c r="F56" i="35"/>
  <c r="G56" i="35" s="1"/>
  <c r="H56" i="35" s="1"/>
  <c r="I56" i="35" s="1"/>
  <c r="C53" i="35"/>
  <c r="P39" i="35"/>
  <c r="P38" i="35"/>
  <c r="V37" i="35"/>
  <c r="T37" i="35"/>
  <c r="R37" i="35"/>
  <c r="P37" i="35"/>
  <c r="Q36" i="35"/>
  <c r="Z36" i="35" s="1"/>
  <c r="Q35" i="35"/>
  <c r="Z35" i="35" s="1"/>
  <c r="Q34" i="35"/>
  <c r="Z34" i="35"/>
  <c r="Q33" i="35"/>
  <c r="Z33" i="35" s="1"/>
  <c r="Q32" i="35"/>
  <c r="Z32" i="35" s="1"/>
  <c r="H32" i="35"/>
  <c r="AB32" i="35" s="1"/>
  <c r="F32" i="35"/>
  <c r="AA32" i="35" s="1"/>
  <c r="Q31" i="35"/>
  <c r="Z31" i="35" s="1"/>
  <c r="Q30" i="35"/>
  <c r="Z30" i="35"/>
  <c r="Q29" i="35"/>
  <c r="Z29" i="35" s="1"/>
  <c r="Q28" i="35"/>
  <c r="Z28" i="35" s="1"/>
  <c r="J28" i="35"/>
  <c r="AC28" i="35" s="1"/>
  <c r="H28" i="35"/>
  <c r="F28" i="35"/>
  <c r="AA28" i="35"/>
  <c r="Q27" i="35"/>
  <c r="Z27" i="35" s="1"/>
  <c r="Q26" i="35"/>
  <c r="Z26" i="35" s="1"/>
  <c r="Q25" i="35"/>
  <c r="Z25" i="35"/>
  <c r="Q24" i="35"/>
  <c r="Z24" i="35" s="1"/>
  <c r="Q23" i="35"/>
  <c r="Z23" i="35" s="1"/>
  <c r="J23" i="35"/>
  <c r="AC23" i="35" s="1"/>
  <c r="Q22" i="35"/>
  <c r="Z22" i="35" s="1"/>
  <c r="Q20" i="35"/>
  <c r="Z20" i="35" s="1"/>
  <c r="Q16" i="35"/>
  <c r="Z16" i="35" s="1"/>
  <c r="Q14" i="35"/>
  <c r="Z14" i="35" s="1"/>
  <c r="Q13" i="35"/>
  <c r="Z13" i="35"/>
  <c r="Q12" i="35"/>
  <c r="Z12" i="35" s="1"/>
  <c r="F12" i="35"/>
  <c r="AA12" i="35" s="1"/>
  <c r="Q11" i="35"/>
  <c r="Z11" i="35"/>
  <c r="Q10" i="35"/>
  <c r="Z10" i="35" s="1"/>
  <c r="Q9" i="35"/>
  <c r="Z9" i="35" s="1"/>
  <c r="J8" i="35"/>
  <c r="H8" i="35"/>
  <c r="F8" i="35"/>
  <c r="AA8" i="35" s="1"/>
  <c r="C7" i="35"/>
  <c r="D120" i="34"/>
  <c r="E120" i="34" s="1"/>
  <c r="F120" i="34" s="1"/>
  <c r="G120" i="34" s="1"/>
  <c r="H120" i="34"/>
  <c r="I120" i="34" s="1"/>
  <c r="J120" i="34" s="1"/>
  <c r="K120" i="34" s="1"/>
  <c r="L120" i="34" s="1"/>
  <c r="M120" i="34" s="1"/>
  <c r="D90" i="34"/>
  <c r="C15" i="34"/>
  <c r="F67" i="34"/>
  <c r="G67" i="34" s="1"/>
  <c r="H67" i="34" s="1"/>
  <c r="I67" i="34" s="1"/>
  <c r="H10" i="34"/>
  <c r="D126" i="34"/>
  <c r="E126" i="34" s="1"/>
  <c r="F126" i="34" s="1"/>
  <c r="G126" i="34" s="1"/>
  <c r="D124" i="34"/>
  <c r="E124" i="34" s="1"/>
  <c r="F124" i="34" s="1"/>
  <c r="G124" i="34" s="1"/>
  <c r="H124" i="34" s="1"/>
  <c r="I124" i="34" s="1"/>
  <c r="J124" i="34" s="1"/>
  <c r="K124" i="34" s="1"/>
  <c r="L124" i="34" s="1"/>
  <c r="M124" i="34" s="1"/>
  <c r="J43" i="34"/>
  <c r="W43" i="34" s="1"/>
  <c r="D118" i="34"/>
  <c r="E118" i="34"/>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D88" i="34"/>
  <c r="E88" i="34"/>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Q42" i="34"/>
  <c r="Z42" i="34" s="1"/>
  <c r="Q41" i="34"/>
  <c r="Z41" i="34" s="1"/>
  <c r="Q40" i="34"/>
  <c r="Z40" i="34"/>
  <c r="F40" i="34"/>
  <c r="S40" i="34"/>
  <c r="Q39" i="34"/>
  <c r="Z39" i="34" s="1"/>
  <c r="J39" i="34"/>
  <c r="H39" i="34"/>
  <c r="U39" i="34"/>
  <c r="F39" i="34"/>
  <c r="Q38" i="34"/>
  <c r="Z38" i="34" s="1"/>
  <c r="Q37" i="34"/>
  <c r="Z37" i="34"/>
  <c r="Q36" i="34"/>
  <c r="Z36" i="34" s="1"/>
  <c r="Q35" i="34"/>
  <c r="Z35" i="34" s="1"/>
  <c r="Q34" i="34"/>
  <c r="Z34" i="34" s="1"/>
  <c r="J34" i="34"/>
  <c r="H34" i="34"/>
  <c r="AB34" i="34"/>
  <c r="F34" i="34"/>
  <c r="S34" i="34" s="1"/>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c r="Q9" i="34"/>
  <c r="Z9" i="34" s="1"/>
  <c r="J8" i="34"/>
  <c r="AC8" i="34" s="1"/>
  <c r="H8" i="34"/>
  <c r="U8" i="34" s="1"/>
  <c r="F8" i="34"/>
  <c r="AA8" i="34" s="1"/>
  <c r="C7" i="34"/>
  <c r="C59" i="34" s="1"/>
  <c r="D59" i="34" s="1"/>
  <c r="E59" i="34" s="1"/>
  <c r="F59" i="34" s="1"/>
  <c r="G59"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C23" i="33"/>
  <c r="C19" i="33"/>
  <c r="C17" i="33"/>
  <c r="C15" i="33"/>
  <c r="C15" i="21"/>
  <c r="D125" i="33"/>
  <c r="D123" i="33"/>
  <c r="E123" i="33" s="1"/>
  <c r="D117" i="33"/>
  <c r="E117" i="33"/>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F28" i="33" s="1"/>
  <c r="S28" i="33" s="1"/>
  <c r="B90" i="33"/>
  <c r="D87" i="33"/>
  <c r="E87" i="33" s="1"/>
  <c r="D85" i="33"/>
  <c r="E85" i="33" s="1"/>
  <c r="D81" i="33"/>
  <c r="E81" i="33" s="1"/>
  <c r="F81" i="33" s="1"/>
  <c r="G81" i="33" s="1"/>
  <c r="D79" i="33"/>
  <c r="E79" i="33"/>
  <c r="F79" i="33" s="1"/>
  <c r="G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AA9" i="33" s="1"/>
  <c r="P49" i="33"/>
  <c r="P48" i="33"/>
  <c r="V47" i="33"/>
  <c r="T47" i="33"/>
  <c r="R47" i="33"/>
  <c r="P47" i="33"/>
  <c r="Q46" i="33"/>
  <c r="Z46" i="33" s="1"/>
  <c r="Q45" i="33"/>
  <c r="Z45" i="33"/>
  <c r="Q44" i="33"/>
  <c r="Z44" i="33" s="1"/>
  <c r="Q43" i="33"/>
  <c r="Z43" i="33" s="1"/>
  <c r="Q42" i="33"/>
  <c r="Z42" i="33" s="1"/>
  <c r="Q41" i="33"/>
  <c r="Z41" i="33" s="1"/>
  <c r="Q40" i="33"/>
  <c r="Z40" i="33"/>
  <c r="J40" i="33"/>
  <c r="AC40" i="33" s="1"/>
  <c r="H40" i="33"/>
  <c r="Q39" i="33"/>
  <c r="Z39" i="33" s="1"/>
  <c r="J39" i="33"/>
  <c r="AC39" i="33" s="1"/>
  <c r="Q38" i="33"/>
  <c r="Z38" i="33" s="1"/>
  <c r="J38" i="33"/>
  <c r="H38" i="33"/>
  <c r="AB38" i="33" s="1"/>
  <c r="F38" i="33"/>
  <c r="AA38" i="33" s="1"/>
  <c r="Q37" i="33"/>
  <c r="Z37" i="33" s="1"/>
  <c r="Q36" i="33"/>
  <c r="Z36" i="33" s="1"/>
  <c r="Q35" i="33"/>
  <c r="Z35" i="33"/>
  <c r="H35" i="33"/>
  <c r="Q34" i="33"/>
  <c r="Z34" i="33" s="1"/>
  <c r="Q33" i="33"/>
  <c r="Z33" i="33" s="1"/>
  <c r="J33" i="33"/>
  <c r="AC33" i="33" s="1"/>
  <c r="H33" i="33"/>
  <c r="F33" i="33"/>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Q14" i="33"/>
  <c r="Z14" i="33" s="1"/>
  <c r="Q13" i="33"/>
  <c r="Z13" i="33" s="1"/>
  <c r="Q12" i="33"/>
  <c r="Z12" i="33" s="1"/>
  <c r="F12" i="33"/>
  <c r="S12" i="33" s="1"/>
  <c r="Q11" i="33"/>
  <c r="Z11" i="33" s="1"/>
  <c r="Q10" i="33"/>
  <c r="Z10" i="33" s="1"/>
  <c r="Q9" i="33"/>
  <c r="Z9" i="33" s="1"/>
  <c r="J8" i="33"/>
  <c r="W8" i="33" s="1"/>
  <c r="H8" i="33"/>
  <c r="AB8" i="33" s="1"/>
  <c r="F8" i="33"/>
  <c r="AA8" i="33" s="1"/>
  <c r="C7" i="33"/>
  <c r="M102" i="21"/>
  <c r="D102" i="21"/>
  <c r="E102" i="21"/>
  <c r="F102" i="21"/>
  <c r="G102" i="21"/>
  <c r="H102" i="21"/>
  <c r="I102" i="21"/>
  <c r="J102" i="21"/>
  <c r="K102" i="21"/>
  <c r="L102" i="21"/>
  <c r="C102" i="21"/>
  <c r="C63" i="21"/>
  <c r="J9" i="21" s="1"/>
  <c r="AC9" i="21" s="1"/>
  <c r="G18" i="20"/>
  <c r="B87" i="46" s="1"/>
  <c r="C25" i="40"/>
  <c r="G16" i="20"/>
  <c r="B81" i="46"/>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F79" i="21" s="1"/>
  <c r="G79" i="21" s="1"/>
  <c r="D85" i="21"/>
  <c r="E85" i="21" s="1"/>
  <c r="F85" i="21" s="1"/>
  <c r="G85" i="21" s="1"/>
  <c r="D81" i="21"/>
  <c r="E81" i="21" s="1"/>
  <c r="J19" i="21" s="1"/>
  <c r="AC19" i="21" s="1"/>
  <c r="D77" i="21"/>
  <c r="E77" i="21" s="1"/>
  <c r="F77" i="21" s="1"/>
  <c r="G77" i="21" s="1"/>
  <c r="B130" i="21"/>
  <c r="J46" i="21" s="1"/>
  <c r="W46" i="21" s="1"/>
  <c r="B128" i="21"/>
  <c r="H45" i="21" s="1"/>
  <c r="U45" i="21" s="1"/>
  <c r="B126" i="21"/>
  <c r="F44" i="21" s="1"/>
  <c r="AA44" i="21" s="1"/>
  <c r="B98" i="21"/>
  <c r="H31" i="21" s="1"/>
  <c r="U31" i="21" s="1"/>
  <c r="B96" i="21"/>
  <c r="B94" i="21"/>
  <c r="F29" i="21" s="1"/>
  <c r="S29" i="21" s="1"/>
  <c r="B92" i="21"/>
  <c r="B90" i="21"/>
  <c r="B74" i="21"/>
  <c r="J14" i="21" s="1"/>
  <c r="B72" i="21"/>
  <c r="F13" i="21" s="1"/>
  <c r="AA13" i="21" s="1"/>
  <c r="B70" i="21"/>
  <c r="H12" i="21" s="1"/>
  <c r="F12" i="21"/>
  <c r="S12" i="21" s="1"/>
  <c r="C7" i="21"/>
  <c r="C58" i="2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c r="Q32" i="21"/>
  <c r="Z32" i="21" s="1"/>
  <c r="Q33" i="21"/>
  <c r="Z33" i="21" s="1"/>
  <c r="Q34" i="21"/>
  <c r="Z34" i="21" s="1"/>
  <c r="J35" i="21"/>
  <c r="AC35" i="21" s="1"/>
  <c r="Q35" i="21"/>
  <c r="Z35" i="21" s="1"/>
  <c r="Q36" i="21"/>
  <c r="Z36" i="21" s="1"/>
  <c r="Q37" i="21"/>
  <c r="Z37" i="21" s="1"/>
  <c r="J38" i="21"/>
  <c r="W38" i="21" s="1"/>
  <c r="Q38" i="21"/>
  <c r="Z38" i="21" s="1"/>
  <c r="J39" i="21"/>
  <c r="AC39" i="21" s="1"/>
  <c r="Q39" i="21"/>
  <c r="Z39" i="21" s="1"/>
  <c r="Q40" i="21"/>
  <c r="Z40" i="21"/>
  <c r="Q41" i="21"/>
  <c r="Z41" i="21" s="1"/>
  <c r="Q42" i="21"/>
  <c r="Z42" i="21" s="1"/>
  <c r="J43" i="21"/>
  <c r="AC43" i="21" s="1"/>
  <c r="Q43" i="21"/>
  <c r="Z43" i="21" s="1"/>
  <c r="Q44" i="21"/>
  <c r="Z44" i="21" s="1"/>
  <c r="Q45" i="21"/>
  <c r="Z45" i="21" s="1"/>
  <c r="Q46" i="21"/>
  <c r="Z46" i="21" s="1"/>
  <c r="P47" i="21"/>
  <c r="R47" i="21"/>
  <c r="T47" i="21"/>
  <c r="V47" i="21"/>
  <c r="P48" i="21"/>
  <c r="P49" i="21"/>
  <c r="F8" i="21"/>
  <c r="E13" i="11"/>
  <c r="E12" i="11"/>
  <c r="C9" i="12"/>
  <c r="BB12" i="3"/>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s="1"/>
  <c r="H34" i="21"/>
  <c r="U34" i="21" s="1"/>
  <c r="F43" i="21"/>
  <c r="S43" i="21" s="1"/>
  <c r="H38" i="21"/>
  <c r="AB38" i="21" s="1"/>
  <c r="H43" i="21"/>
  <c r="AB43" i="21" s="1"/>
  <c r="F32" i="21"/>
  <c r="AA32" i="21" s="1"/>
  <c r="F38" i="21"/>
  <c r="F36" i="21"/>
  <c r="S36" i="21" s="1"/>
  <c r="F39" i="21"/>
  <c r="AA39" i="21" s="1"/>
  <c r="J40" i="21"/>
  <c r="W40" i="21" s="1"/>
  <c r="H35" i="21"/>
  <c r="AB35" i="21" s="1"/>
  <c r="J8" i="21"/>
  <c r="AC8" i="21" s="1"/>
  <c r="H8" i="21"/>
  <c r="U8" i="21" s="1"/>
  <c r="H9" i="21"/>
  <c r="U9" i="21" s="1"/>
  <c r="H39" i="21"/>
  <c r="AB39" i="21" s="1"/>
  <c r="J34" i="21"/>
  <c r="W34" i="21" s="1"/>
  <c r="H36" i="21"/>
  <c r="U36" i="21" s="1"/>
  <c r="F35" i="21"/>
  <c r="AA35" i="21" s="1"/>
  <c r="H26" i="21"/>
  <c r="U26" i="21" s="1"/>
  <c r="U12" i="21"/>
  <c r="J26" i="21"/>
  <c r="W26" i="21" s="1"/>
  <c r="F26" i="21"/>
  <c r="AB41" i="21"/>
  <c r="S10" i="39"/>
  <c r="F103" i="37"/>
  <c r="F39" i="37"/>
  <c r="F29" i="36"/>
  <c r="AA29" i="36" s="1"/>
  <c r="F16" i="36"/>
  <c r="AA16" i="36" s="1"/>
  <c r="U22" i="36"/>
  <c r="W22" i="36"/>
  <c r="S31" i="35"/>
  <c r="F36" i="34"/>
  <c r="S36" i="34" s="1"/>
  <c r="H39" i="33"/>
  <c r="AB39" i="33" s="1"/>
  <c r="H39" i="37"/>
  <c r="S10" i="40"/>
  <c r="W10" i="40"/>
  <c r="S11" i="40"/>
  <c r="U11" i="40"/>
  <c r="S36" i="40"/>
  <c r="U36" i="40"/>
  <c r="S36" i="39"/>
  <c r="H32" i="33"/>
  <c r="AB32" i="33" s="1"/>
  <c r="F100" i="40"/>
  <c r="F86" i="40"/>
  <c r="G86" i="40" s="1"/>
  <c r="J27" i="36"/>
  <c r="W27" i="36" s="1"/>
  <c r="J30" i="35"/>
  <c r="W30" i="35" s="1"/>
  <c r="F22" i="35"/>
  <c r="H10" i="35"/>
  <c r="U10" i="35" s="1"/>
  <c r="E85" i="36"/>
  <c r="F85" i="36" s="1"/>
  <c r="G85" i="36" s="1"/>
  <c r="H85" i="36" s="1"/>
  <c r="I85" i="36" s="1"/>
  <c r="J85" i="36" s="1"/>
  <c r="K85" i="36" s="1"/>
  <c r="L85" i="36" s="1"/>
  <c r="M85" i="36" s="1"/>
  <c r="J29" i="36"/>
  <c r="AC29" i="36" s="1"/>
  <c r="S10" i="36"/>
  <c r="AB8" i="36"/>
  <c r="H16" i="35"/>
  <c r="H33" i="35"/>
  <c r="F35" i="37"/>
  <c r="S35" i="37" s="1"/>
  <c r="E101" i="37"/>
  <c r="F101" i="37" s="1"/>
  <c r="G101" i="37" s="1"/>
  <c r="H101" i="37" s="1"/>
  <c r="I101" i="37" s="1"/>
  <c r="J101" i="37" s="1"/>
  <c r="K101" i="37" s="1"/>
  <c r="L101" i="37" s="1"/>
  <c r="M101" i="37" s="1"/>
  <c r="J34" i="37"/>
  <c r="W34" i="37" s="1"/>
  <c r="H43" i="34"/>
  <c r="U42" i="34"/>
  <c r="E114" i="34"/>
  <c r="H36" i="34"/>
  <c r="U36" i="34" s="1"/>
  <c r="F37" i="34"/>
  <c r="AA37" i="34" s="1"/>
  <c r="F33" i="34"/>
  <c r="S33" i="34" s="1"/>
  <c r="F19" i="34"/>
  <c r="AA19" i="34" s="1"/>
  <c r="J10" i="34"/>
  <c r="AC10" i="34" s="1"/>
  <c r="W8" i="34"/>
  <c r="F36" i="33"/>
  <c r="S36" i="33" s="1"/>
  <c r="J19" i="33"/>
  <c r="AC19" i="33" s="1"/>
  <c r="W40" i="33"/>
  <c r="AB30" i="36"/>
  <c r="H29" i="35"/>
  <c r="U29" i="35" s="1"/>
  <c r="AC43" i="34"/>
  <c r="AB42" i="34"/>
  <c r="J19" i="34"/>
  <c r="AC19" i="34" s="1"/>
  <c r="H37" i="33"/>
  <c r="AC38" i="34"/>
  <c r="W38" i="34"/>
  <c r="AA38" i="34"/>
  <c r="S38" i="34"/>
  <c r="J37" i="33"/>
  <c r="W37" i="33" s="1"/>
  <c r="J44" i="34"/>
  <c r="AC44" i="34" s="1"/>
  <c r="F44" i="34"/>
  <c r="S44" i="34" s="1"/>
  <c r="J10" i="35"/>
  <c r="W10" i="35" s="1"/>
  <c r="AL5" i="3"/>
  <c r="BQ13" i="3"/>
  <c r="J44" i="21"/>
  <c r="AC44" i="21" s="1"/>
  <c r="H44" i="21"/>
  <c r="H28" i="33"/>
  <c r="AB28" i="33" s="1"/>
  <c r="F33" i="35"/>
  <c r="S33" i="35" s="1"/>
  <c r="J33" i="35"/>
  <c r="F30" i="35"/>
  <c r="AA30" i="35"/>
  <c r="H10" i="36"/>
  <c r="F28" i="36"/>
  <c r="S28" i="36" s="1"/>
  <c r="F27" i="36"/>
  <c r="S27" i="36" s="1"/>
  <c r="H13" i="21"/>
  <c r="U13" i="21"/>
  <c r="J13" i="21"/>
  <c r="AC13" i="21" s="1"/>
  <c r="H27" i="21"/>
  <c r="AB27" i="21" s="1"/>
  <c r="J27" i="21"/>
  <c r="W27" i="21" s="1"/>
  <c r="F27" i="21"/>
  <c r="AA27" i="21" s="1"/>
  <c r="J29" i="21"/>
  <c r="AC29" i="21" s="1"/>
  <c r="J31" i="21"/>
  <c r="AC31" i="21" s="1"/>
  <c r="J45" i="21"/>
  <c r="W45" i="21" s="1"/>
  <c r="F45" i="21"/>
  <c r="J27" i="33"/>
  <c r="AC27" i="33" s="1"/>
  <c r="J31" i="33"/>
  <c r="AC31" i="33" s="1"/>
  <c r="H31" i="33"/>
  <c r="AB31" i="33" s="1"/>
  <c r="U31" i="33"/>
  <c r="S31" i="33"/>
  <c r="J45" i="33"/>
  <c r="W45" i="33" s="1"/>
  <c r="F45" i="33"/>
  <c r="S45" i="33"/>
  <c r="F11" i="35"/>
  <c r="S11" i="35" s="1"/>
  <c r="H28" i="36"/>
  <c r="AB28" i="36" s="1"/>
  <c r="H32" i="36"/>
  <c r="AB32" i="36" s="1"/>
  <c r="J32" i="36"/>
  <c r="AC32" i="36" s="1"/>
  <c r="H13" i="36"/>
  <c r="AB13" i="36" s="1"/>
  <c r="F13" i="36"/>
  <c r="S13" i="36" s="1"/>
  <c r="J29" i="37"/>
  <c r="W29" i="37"/>
  <c r="F29" i="37"/>
  <c r="AA29" i="37" s="1"/>
  <c r="F105" i="37"/>
  <c r="G105" i="37" s="1"/>
  <c r="AB36" i="37"/>
  <c r="J37" i="37"/>
  <c r="AC37" i="37" s="1"/>
  <c r="H37" i="37"/>
  <c r="U37" i="37" s="1"/>
  <c r="H14" i="33"/>
  <c r="U14" i="33"/>
  <c r="F14" i="33"/>
  <c r="AA14" i="33" s="1"/>
  <c r="J14" i="33"/>
  <c r="AC14" i="33" s="1"/>
  <c r="J13" i="34"/>
  <c r="J29" i="34"/>
  <c r="AC29" i="34" s="1"/>
  <c r="F29" i="34"/>
  <c r="S29" i="34" s="1"/>
  <c r="H29" i="34"/>
  <c r="U29" i="34"/>
  <c r="J31" i="34"/>
  <c r="H31" i="34"/>
  <c r="AB31" i="34" s="1"/>
  <c r="F31" i="34"/>
  <c r="F13" i="35"/>
  <c r="S13" i="35" s="1"/>
  <c r="J25" i="35"/>
  <c r="AC25" i="35" s="1"/>
  <c r="F25" i="35"/>
  <c r="H25" i="35"/>
  <c r="AB25" i="35" s="1"/>
  <c r="J35" i="35"/>
  <c r="W35" i="35" s="1"/>
  <c r="F35" i="35"/>
  <c r="J25" i="36"/>
  <c r="W25" i="36" s="1"/>
  <c r="H13" i="37"/>
  <c r="AB13" i="37" s="1"/>
  <c r="F13" i="37"/>
  <c r="S13" i="37" s="1"/>
  <c r="J13" i="37"/>
  <c r="F28" i="37"/>
  <c r="AA28" i="37" s="1"/>
  <c r="J28" i="37"/>
  <c r="AC28" i="37" s="1"/>
  <c r="H28" i="37"/>
  <c r="U28" i="37" s="1"/>
  <c r="H38" i="37"/>
  <c r="AB38" i="37" s="1"/>
  <c r="J38" i="37"/>
  <c r="AC38" i="37" s="1"/>
  <c r="F38" i="37"/>
  <c r="F27" i="37"/>
  <c r="S27" i="37" s="1"/>
  <c r="AA27" i="37"/>
  <c r="J27" i="37"/>
  <c r="W27" i="37" s="1"/>
  <c r="J36" i="37"/>
  <c r="AB13" i="21"/>
  <c r="AB45" i="33"/>
  <c r="G521" i="3"/>
  <c r="G517" i="3"/>
  <c r="G499" i="3"/>
  <c r="G493" i="3"/>
  <c r="G17" i="3"/>
  <c r="G561" i="3"/>
  <c r="G518" i="3"/>
  <c r="G514" i="3"/>
  <c r="G510" i="3"/>
  <c r="BA561" i="3"/>
  <c r="BA487" i="3"/>
  <c r="AZ487" i="3" s="1"/>
  <c r="G566" i="3"/>
  <c r="G562" i="3"/>
  <c r="G554" i="3"/>
  <c r="AC542" i="3"/>
  <c r="G542" i="3"/>
  <c r="BQ542" i="3"/>
  <c r="BQ568" i="3"/>
  <c r="BQ566" i="3"/>
  <c r="BQ564" i="3"/>
  <c r="BL564" i="3" s="1"/>
  <c r="BQ562" i="3"/>
  <c r="BQ560" i="3"/>
  <c r="BQ558" i="3"/>
  <c r="BQ556" i="3"/>
  <c r="BQ554" i="3"/>
  <c r="BQ552" i="3"/>
  <c r="BQ550" i="3"/>
  <c r="BQ548" i="3"/>
  <c r="BQ546" i="3"/>
  <c r="BQ544" i="3"/>
  <c r="G544" i="3"/>
  <c r="G530" i="3"/>
  <c r="G526" i="3"/>
  <c r="BQ540" i="3"/>
  <c r="BQ538" i="3"/>
  <c r="BQ536" i="3"/>
  <c r="BQ534" i="3"/>
  <c r="BQ532" i="3"/>
  <c r="BQ530" i="3"/>
  <c r="BQ528" i="3"/>
  <c r="BQ526" i="3"/>
  <c r="BL526" i="3" s="1"/>
  <c r="BQ524" i="3"/>
  <c r="BQ522" i="3"/>
  <c r="BQ520" i="3"/>
  <c r="BQ518" i="3"/>
  <c r="BQ516" i="3"/>
  <c r="BQ514" i="3"/>
  <c r="BL514" i="3" s="1"/>
  <c r="BQ512" i="3"/>
  <c r="BQ510" i="3"/>
  <c r="BQ508" i="3"/>
  <c r="AC506" i="3"/>
  <c r="G506" i="3" s="1"/>
  <c r="BQ506" i="3"/>
  <c r="BL506" i="3" s="1"/>
  <c r="G498" i="3"/>
  <c r="BQ504" i="3"/>
  <c r="BQ502" i="3"/>
  <c r="BQ500" i="3"/>
  <c r="BQ498" i="3"/>
  <c r="BQ496" i="3"/>
  <c r="AC494" i="3"/>
  <c r="BQ494" i="3"/>
  <c r="BL494" i="3" s="1"/>
  <c r="G484" i="3"/>
  <c r="BQ492" i="3"/>
  <c r="BQ490" i="3"/>
  <c r="BQ488" i="3"/>
  <c r="BQ486" i="3"/>
  <c r="BQ484" i="3"/>
  <c r="BL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H17" i="37"/>
  <c r="AB17" i="37" s="1"/>
  <c r="F23" i="37"/>
  <c r="F39" i="33"/>
  <c r="H28" i="34"/>
  <c r="F22" i="36"/>
  <c r="S22" i="36" s="1"/>
  <c r="H35" i="34"/>
  <c r="U35" i="34" s="1"/>
  <c r="F41" i="34"/>
  <c r="S41" i="34" s="1"/>
  <c r="H41" i="34"/>
  <c r="J41" i="34"/>
  <c r="F10" i="35"/>
  <c r="F24" i="35"/>
  <c r="AA24" i="35" s="1"/>
  <c r="H23" i="37"/>
  <c r="AB23" i="37" s="1"/>
  <c r="J32" i="37"/>
  <c r="AC32" i="37" s="1"/>
  <c r="F36" i="37"/>
  <c r="F37" i="37"/>
  <c r="AA37" i="37" s="1"/>
  <c r="F123" i="33"/>
  <c r="J43" i="33"/>
  <c r="AC43" i="33" s="1"/>
  <c r="G79" i="37"/>
  <c r="J23" i="37"/>
  <c r="W23" i="37" s="1"/>
  <c r="F17" i="37"/>
  <c r="AA17" i="37" s="1"/>
  <c r="AC33" i="36"/>
  <c r="AC12" i="35"/>
  <c r="W23" i="35"/>
  <c r="AC36" i="34"/>
  <c r="AC37" i="33"/>
  <c r="AA13" i="33"/>
  <c r="AC45" i="33"/>
  <c r="F43" i="33"/>
  <c r="AA43" i="33" s="1"/>
  <c r="F37" i="21"/>
  <c r="J37" i="21"/>
  <c r="H19" i="34"/>
  <c r="AB19" i="34"/>
  <c r="J10" i="37"/>
  <c r="F11" i="37"/>
  <c r="S11" i="37"/>
  <c r="H15" i="37"/>
  <c r="U15" i="37"/>
  <c r="F31" i="37"/>
  <c r="S31" i="37" s="1"/>
  <c r="F94" i="37"/>
  <c r="G94" i="37" s="1"/>
  <c r="H94" i="37"/>
  <c r="I94" i="37" s="1"/>
  <c r="J94" i="37" s="1"/>
  <c r="K94" i="37" s="1"/>
  <c r="L94" i="37" s="1"/>
  <c r="M94" i="37" s="1"/>
  <c r="H31" i="37"/>
  <c r="AB31" i="37" s="1"/>
  <c r="J15" i="37"/>
  <c r="W15" i="37" s="1"/>
  <c r="AB10" i="37"/>
  <c r="J11" i="37"/>
  <c r="W11" i="37" s="1"/>
  <c r="E90" i="40"/>
  <c r="F21" i="40"/>
  <c r="S21" i="40" s="1"/>
  <c r="W36" i="40"/>
  <c r="F90" i="40"/>
  <c r="G90" i="40" s="1"/>
  <c r="J21" i="40"/>
  <c r="AC21" i="40" s="1"/>
  <c r="S27" i="31"/>
  <c r="G483" i="3"/>
  <c r="G507" i="3"/>
  <c r="BL17" i="3"/>
  <c r="BL15" i="3"/>
  <c r="H13" i="40"/>
  <c r="H12" i="48"/>
  <c r="I4" i="4"/>
  <c r="K141" i="21"/>
  <c r="K143" i="21"/>
  <c r="K144" i="21"/>
  <c r="I59" i="40"/>
  <c r="C59" i="40" s="1"/>
  <c r="I60" i="40"/>
  <c r="C60" i="40"/>
  <c r="G297" i="3"/>
  <c r="BL298" i="3"/>
  <c r="G299" i="3"/>
  <c r="BL300" i="3"/>
  <c r="BA302" i="3"/>
  <c r="BA303" i="3"/>
  <c r="BL303" i="3"/>
  <c r="G304" i="3"/>
  <c r="BA305" i="3"/>
  <c r="G321" i="3"/>
  <c r="BL322" i="3"/>
  <c r="G323" i="3"/>
  <c r="BL324" i="3"/>
  <c r="BA326" i="3"/>
  <c r="BA327" i="3"/>
  <c r="BL327" i="3"/>
  <c r="G328" i="3"/>
  <c r="BA329" i="3"/>
  <c r="G337" i="3"/>
  <c r="BL338" i="3"/>
  <c r="AZ338" i="3" s="1"/>
  <c r="G339" i="3"/>
  <c r="BL340" i="3"/>
  <c r="BA342" i="3"/>
  <c r="BA343" i="3"/>
  <c r="BL343" i="3"/>
  <c r="G344" i="3"/>
  <c r="BA345" i="3"/>
  <c r="G353" i="3"/>
  <c r="BL354" i="3"/>
  <c r="G355" i="3"/>
  <c r="BL356" i="3"/>
  <c r="G357" i="3"/>
  <c r="BL358" i="3"/>
  <c r="G359" i="3"/>
  <c r="BA360" i="3"/>
  <c r="BA361" i="3"/>
  <c r="AZ361" i="3" s="1"/>
  <c r="BL361" i="3"/>
  <c r="G362" i="3"/>
  <c r="BA363" i="3"/>
  <c r="AZ363" i="3" s="1"/>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AZ138" i="3"/>
  <c r="BL139" i="3"/>
  <c r="G140" i="3"/>
  <c r="BA142" i="3"/>
  <c r="BL143" i="3"/>
  <c r="AZ143" i="3" s="1"/>
  <c r="G144" i="3"/>
  <c r="BA146" i="3"/>
  <c r="BL147" i="3"/>
  <c r="G148" i="3"/>
  <c r="BA150" i="3"/>
  <c r="BL151" i="3"/>
  <c r="BA153" i="3"/>
  <c r="BL154" i="3"/>
  <c r="G155" i="3"/>
  <c r="BA157" i="3"/>
  <c r="BL158" i="3"/>
  <c r="G159" i="3"/>
  <c r="BA161" i="3"/>
  <c r="BL162" i="3"/>
  <c r="G163" i="3"/>
  <c r="BA165" i="3"/>
  <c r="BL166" i="3"/>
  <c r="G167" i="3"/>
  <c r="BA169" i="3"/>
  <c r="BL170" i="3"/>
  <c r="AZ170" i="3" s="1"/>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G491" i="3"/>
  <c r="BA298" i="3"/>
  <c r="BA299" i="3"/>
  <c r="AZ299" i="3" s="1"/>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AZ346" i="3" s="1"/>
  <c r="BA347" i="3"/>
  <c r="BL347" i="3"/>
  <c r="G348" i="3"/>
  <c r="G351" i="3"/>
  <c r="BL352" i="3"/>
  <c r="BA354" i="3"/>
  <c r="BA355" i="3"/>
  <c r="BL355" i="3"/>
  <c r="G356" i="3"/>
  <c r="BA358" i="3"/>
  <c r="BA359" i="3"/>
  <c r="BL359" i="3"/>
  <c r="G360" i="3"/>
  <c r="G361" i="3"/>
  <c r="BL362" i="3"/>
  <c r="BA364" i="3"/>
  <c r="BA365" i="3"/>
  <c r="BL365" i="3"/>
  <c r="G366" i="3"/>
  <c r="G369" i="3"/>
  <c r="BL370" i="3"/>
  <c r="AZ370" i="3" s="1"/>
  <c r="BA372" i="3"/>
  <c r="BA373" i="3"/>
  <c r="BL373" i="3"/>
  <c r="G374" i="3"/>
  <c r="G377" i="3"/>
  <c r="BL378" i="3"/>
  <c r="BA380" i="3"/>
  <c r="BA381" i="3"/>
  <c r="BL381" i="3"/>
  <c r="G382" i="3"/>
  <c r="G385" i="3"/>
  <c r="BL297" i="3"/>
  <c r="G298" i="3"/>
  <c r="BA300" i="3"/>
  <c r="BL301" i="3"/>
  <c r="G302" i="3"/>
  <c r="BA304" i="3"/>
  <c r="BL305" i="3"/>
  <c r="AZ305" i="3" s="1"/>
  <c r="G306" i="3"/>
  <c r="BA308" i="3"/>
  <c r="BL309" i="3"/>
  <c r="AZ309" i="3" s="1"/>
  <c r="G310" i="3"/>
  <c r="BA310" i="3"/>
  <c r="BL311" i="3"/>
  <c r="G312" i="3"/>
  <c r="BA312" i="3"/>
  <c r="BL313" i="3"/>
  <c r="G314" i="3"/>
  <c r="BA314" i="3"/>
  <c r="BL315" i="3"/>
  <c r="G316" i="3"/>
  <c r="BA316" i="3"/>
  <c r="BL317" i="3"/>
  <c r="G318" i="3"/>
  <c r="BA320" i="3"/>
  <c r="BL321" i="3"/>
  <c r="G322" i="3"/>
  <c r="BA324" i="3"/>
  <c r="BL325" i="3"/>
  <c r="G326" i="3"/>
  <c r="BA328" i="3"/>
  <c r="AZ328" i="3"/>
  <c r="BL329" i="3"/>
  <c r="G330" i="3"/>
  <c r="BA332" i="3"/>
  <c r="BL333" i="3"/>
  <c r="AZ333" i="3" s="1"/>
  <c r="G334" i="3"/>
  <c r="BA336" i="3"/>
  <c r="BL337" i="3"/>
  <c r="G338" i="3"/>
  <c r="BA340" i="3"/>
  <c r="BL341" i="3"/>
  <c r="G342" i="3"/>
  <c r="BA344" i="3"/>
  <c r="AZ344" i="3"/>
  <c r="BL345" i="3"/>
  <c r="G346" i="3"/>
  <c r="BA348" i="3"/>
  <c r="BL349" i="3"/>
  <c r="G350" i="3"/>
  <c r="BA352" i="3"/>
  <c r="AZ352" i="3" s="1"/>
  <c r="BL353" i="3"/>
  <c r="G354" i="3"/>
  <c r="BA356" i="3"/>
  <c r="BL357" i="3"/>
  <c r="G358" i="3"/>
  <c r="BA362" i="3"/>
  <c r="BL363" i="3"/>
  <c r="G364" i="3"/>
  <c r="BA366" i="3"/>
  <c r="BL367" i="3"/>
  <c r="G368" i="3"/>
  <c r="BA370" i="3"/>
  <c r="BL371" i="3"/>
  <c r="G372" i="3"/>
  <c r="BA374" i="3"/>
  <c r="BL375" i="3"/>
  <c r="G376" i="3"/>
  <c r="BA378" i="3"/>
  <c r="BL379" i="3"/>
  <c r="AZ379" i="3" s="1"/>
  <c r="G380" i="3"/>
  <c r="BA382" i="3"/>
  <c r="BL383" i="3"/>
  <c r="G384" i="3"/>
  <c r="H7" i="48"/>
  <c r="F33" i="46"/>
  <c r="H16" i="48"/>
  <c r="H9" i="48"/>
  <c r="H8" i="48"/>
  <c r="C12" i="46"/>
  <c r="AB15" i="37"/>
  <c r="AA13" i="40"/>
  <c r="E78" i="40"/>
  <c r="F78" i="40" s="1"/>
  <c r="G78" i="40" s="1"/>
  <c r="H78" i="40" s="1"/>
  <c r="I78" i="40" s="1"/>
  <c r="J78" i="40" s="1"/>
  <c r="K78" i="40" s="1"/>
  <c r="L78" i="40" s="1"/>
  <c r="M78" i="40" s="1"/>
  <c r="R16" i="4"/>
  <c r="P16" i="4"/>
  <c r="G4" i="4"/>
  <c r="S37" i="34"/>
  <c r="J16" i="35"/>
  <c r="W16" i="35" s="1"/>
  <c r="AC26" i="36"/>
  <c r="H11" i="37"/>
  <c r="AB11" i="37" s="1"/>
  <c r="W37" i="37"/>
  <c r="AC29" i="33"/>
  <c r="AA45" i="33"/>
  <c r="AC10" i="36"/>
  <c r="AB45" i="34"/>
  <c r="AC29" i="37"/>
  <c r="W32" i="36"/>
  <c r="J33" i="34"/>
  <c r="AB36" i="34"/>
  <c r="J40" i="34"/>
  <c r="W40" i="34" s="1"/>
  <c r="F16" i="35"/>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AB12" i="21"/>
  <c r="H32" i="21"/>
  <c r="U32" i="21" s="1"/>
  <c r="J32" i="21"/>
  <c r="AC32" i="21" s="1"/>
  <c r="F17" i="21"/>
  <c r="H17" i="21"/>
  <c r="U17" i="21" s="1"/>
  <c r="J17" i="21"/>
  <c r="AC17" i="21" s="1"/>
  <c r="H37" i="21"/>
  <c r="U37" i="21" s="1"/>
  <c r="F40" i="21"/>
  <c r="H40" i="21"/>
  <c r="AB40" i="21" s="1"/>
  <c r="E119" i="21"/>
  <c r="F119" i="21" s="1"/>
  <c r="G119" i="21" s="1"/>
  <c r="H119" i="21" s="1"/>
  <c r="I119" i="21" s="1"/>
  <c r="J119" i="21" s="1"/>
  <c r="K119" i="21" s="1"/>
  <c r="L119" i="21" s="1"/>
  <c r="M119" i="21" s="1"/>
  <c r="H66" i="33"/>
  <c r="I66" i="33" s="1"/>
  <c r="F10" i="33"/>
  <c r="AA10" i="33" s="1"/>
  <c r="J15" i="33"/>
  <c r="F32" i="33"/>
  <c r="AA32" i="33" s="1"/>
  <c r="J32" i="33"/>
  <c r="AC32" i="33" s="1"/>
  <c r="F35" i="33"/>
  <c r="AA35" i="33"/>
  <c r="AB39" i="34"/>
  <c r="F11" i="34"/>
  <c r="S11" i="34" s="1"/>
  <c r="E80" i="34"/>
  <c r="F80" i="34" s="1"/>
  <c r="H17" i="34"/>
  <c r="AB17" i="34" s="1"/>
  <c r="S12" i="35"/>
  <c r="AB28" i="35"/>
  <c r="U28" i="35"/>
  <c r="J13" i="33"/>
  <c r="H13" i="33"/>
  <c r="U13" i="33"/>
  <c r="H29" i="33"/>
  <c r="F29" i="33"/>
  <c r="AA29" i="33" s="1"/>
  <c r="J12" i="34"/>
  <c r="W12" i="34" s="1"/>
  <c r="H12" i="34"/>
  <c r="AB12" i="34" s="1"/>
  <c r="F12" i="34"/>
  <c r="S12" i="34" s="1"/>
  <c r="F14" i="34"/>
  <c r="H14" i="34"/>
  <c r="H30" i="34"/>
  <c r="AB30" i="34"/>
  <c r="J30" i="34"/>
  <c r="W30" i="34" s="1"/>
  <c r="H32" i="34"/>
  <c r="AB32" i="34"/>
  <c r="F32" i="34"/>
  <c r="J32" i="34"/>
  <c r="H46" i="34"/>
  <c r="AB46" i="34" s="1"/>
  <c r="F46" i="34"/>
  <c r="AA46" i="34" s="1"/>
  <c r="J46" i="34"/>
  <c r="AC46" i="34" s="1"/>
  <c r="H11" i="35"/>
  <c r="AB11" i="35" s="1"/>
  <c r="J11" i="35"/>
  <c r="AC11" i="35" s="1"/>
  <c r="F96" i="37"/>
  <c r="G96" i="37" s="1"/>
  <c r="H96" i="37" s="1"/>
  <c r="I96" i="37" s="1"/>
  <c r="J96" i="37" s="1"/>
  <c r="K96" i="37" s="1"/>
  <c r="L96" i="37" s="1"/>
  <c r="M96" i="37" s="1"/>
  <c r="H32" i="37"/>
  <c r="F43" i="39"/>
  <c r="AA43" i="39" s="1"/>
  <c r="H43" i="39"/>
  <c r="U43" i="39" s="1"/>
  <c r="J43" i="39"/>
  <c r="AC43" i="39" s="1"/>
  <c r="AC27" i="37"/>
  <c r="U25" i="35"/>
  <c r="U31" i="34"/>
  <c r="AC45" i="21"/>
  <c r="AB29" i="35"/>
  <c r="AB10" i="35"/>
  <c r="AA35" i="34"/>
  <c r="E90" i="34"/>
  <c r="J14" i="35"/>
  <c r="AC14" i="35" s="1"/>
  <c r="F14" i="35"/>
  <c r="H14" i="35"/>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s="1"/>
  <c r="F11" i="36"/>
  <c r="W16" i="36"/>
  <c r="F26" i="36"/>
  <c r="S26" i="36" s="1"/>
  <c r="H33" i="36"/>
  <c r="U33" i="36" s="1"/>
  <c r="F33" i="36"/>
  <c r="AA33" i="36" s="1"/>
  <c r="H27" i="36"/>
  <c r="AB27" i="36" s="1"/>
  <c r="AA31" i="36"/>
  <c r="AC25" i="37"/>
  <c r="AB29" i="37"/>
  <c r="AC31" i="37"/>
  <c r="W31" i="37"/>
  <c r="F17" i="39"/>
  <c r="AA17" i="39" s="1"/>
  <c r="F21" i="39"/>
  <c r="S21" i="39" s="1"/>
  <c r="H21" i="39"/>
  <c r="J21" i="39"/>
  <c r="W21" i="39" s="1"/>
  <c r="F33" i="39"/>
  <c r="S33" i="39" s="1"/>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E103" i="39"/>
  <c r="F103" i="39" s="1"/>
  <c r="G103" i="39" s="1"/>
  <c r="F34" i="39"/>
  <c r="AA34" i="39" s="1"/>
  <c r="H34" i="39"/>
  <c r="AB34" i="39" s="1"/>
  <c r="J34" i="39"/>
  <c r="AC34" i="39" s="1"/>
  <c r="F39" i="39"/>
  <c r="S39" i="39" s="1"/>
  <c r="J29" i="35"/>
  <c r="F29" i="35"/>
  <c r="S29" i="35" s="1"/>
  <c r="W30" i="36"/>
  <c r="AC30" i="36"/>
  <c r="BL568" i="3"/>
  <c r="BA549" i="3"/>
  <c r="BL536" i="3"/>
  <c r="AZ536" i="3" s="1"/>
  <c r="BL531" i="3"/>
  <c r="BA526" i="3"/>
  <c r="BA523" i="3"/>
  <c r="AZ523" i="3" s="1"/>
  <c r="BL515" i="3"/>
  <c r="BA510" i="3"/>
  <c r="BA506" i="3"/>
  <c r="BA500" i="3"/>
  <c r="BL490" i="3"/>
  <c r="BA485" i="3"/>
  <c r="F114" i="34"/>
  <c r="G114" i="34" s="1"/>
  <c r="H114" i="34" s="1"/>
  <c r="I114" i="34" s="1"/>
  <c r="J114" i="34" s="1"/>
  <c r="K114" i="34" s="1"/>
  <c r="L114" i="34" s="1"/>
  <c r="M114" i="34" s="1"/>
  <c r="H38" i="34"/>
  <c r="U38" i="34" s="1"/>
  <c r="H30" i="40"/>
  <c r="AB30" i="40" s="1"/>
  <c r="G100" i="40"/>
  <c r="H100" i="40" s="1"/>
  <c r="I100" i="40" s="1"/>
  <c r="J100" i="40" s="1"/>
  <c r="K100" i="40" s="1"/>
  <c r="L100" i="40" s="1"/>
  <c r="M100" i="40" s="1"/>
  <c r="J30" i="40"/>
  <c r="AC30" i="40"/>
  <c r="F38" i="40"/>
  <c r="AA38" i="40" s="1"/>
  <c r="H34" i="33"/>
  <c r="F34" i="33"/>
  <c r="S34" i="33"/>
  <c r="F41" i="33"/>
  <c r="S41" i="33" s="1"/>
  <c r="AC34" i="34"/>
  <c r="W34" i="34"/>
  <c r="AA39" i="34"/>
  <c r="S39" i="34"/>
  <c r="E78" i="34"/>
  <c r="F78" i="34" s="1"/>
  <c r="G78" i="34" s="1"/>
  <c r="F15" i="34"/>
  <c r="J20" i="35"/>
  <c r="E72" i="35"/>
  <c r="F72" i="35"/>
  <c r="G72" i="35" s="1"/>
  <c r="H22" i="35"/>
  <c r="AB22" i="35" s="1"/>
  <c r="H23" i="35"/>
  <c r="AB23" i="35" s="1"/>
  <c r="F23" i="35"/>
  <c r="U31" i="36"/>
  <c r="S8" i="37"/>
  <c r="AA8" i="37"/>
  <c r="F14" i="39"/>
  <c r="S14" i="39" s="1"/>
  <c r="H14" i="39"/>
  <c r="J14" i="39"/>
  <c r="AC14" i="39" s="1"/>
  <c r="F16" i="39"/>
  <c r="AA16" i="39" s="1"/>
  <c r="H16" i="39"/>
  <c r="U16" i="39" s="1"/>
  <c r="J16" i="39"/>
  <c r="AC16" i="39" s="1"/>
  <c r="F27" i="39"/>
  <c r="AA27" i="39" s="1"/>
  <c r="H27" i="39"/>
  <c r="AB27" i="39" s="1"/>
  <c r="J27" i="39"/>
  <c r="W27" i="39" s="1"/>
  <c r="F15" i="40"/>
  <c r="J15" i="40"/>
  <c r="W15" i="40" s="1"/>
  <c r="H15" i="40"/>
  <c r="U15" i="40" s="1"/>
  <c r="E92" i="40"/>
  <c r="F92" i="40" s="1"/>
  <c r="G92" i="40" s="1"/>
  <c r="H23" i="40"/>
  <c r="U23" i="40" s="1"/>
  <c r="H41" i="40"/>
  <c r="AB41" i="40" s="1"/>
  <c r="F41" i="40"/>
  <c r="AA41" i="40" s="1"/>
  <c r="J41" i="40"/>
  <c r="H36" i="33"/>
  <c r="AB36" i="33" s="1"/>
  <c r="H37" i="34"/>
  <c r="F15" i="39"/>
  <c r="S15" i="39" s="1"/>
  <c r="AA15" i="39"/>
  <c r="H15" i="39"/>
  <c r="J15" i="39"/>
  <c r="H25" i="39"/>
  <c r="U25" i="39" s="1"/>
  <c r="J25" i="39"/>
  <c r="AC25" i="39" s="1"/>
  <c r="F25" i="39"/>
  <c r="AA25" i="39" s="1"/>
  <c r="F41" i="39"/>
  <c r="S41" i="39" s="1"/>
  <c r="H41" i="39"/>
  <c r="AB41" i="39" s="1"/>
  <c r="J41" i="39"/>
  <c r="AC41" i="39" s="1"/>
  <c r="E94" i="40"/>
  <c r="F94" i="40" s="1"/>
  <c r="G94" i="40" s="1"/>
  <c r="J25" i="40"/>
  <c r="AC25" i="40" s="1"/>
  <c r="J32" i="40"/>
  <c r="AC32" i="40" s="1"/>
  <c r="H32" i="40"/>
  <c r="U32" i="40"/>
  <c r="H33" i="40"/>
  <c r="AB33" i="40" s="1"/>
  <c r="F33" i="40"/>
  <c r="AA33" i="40" s="1"/>
  <c r="J33" i="40"/>
  <c r="H35" i="40"/>
  <c r="AB35" i="40" s="1"/>
  <c r="F35" i="40"/>
  <c r="AA35" i="40" s="1"/>
  <c r="J35" i="40"/>
  <c r="AC35" i="40" s="1"/>
  <c r="J38" i="39"/>
  <c r="W38" i="39" s="1"/>
  <c r="H38" i="39"/>
  <c r="AB38" i="39" s="1"/>
  <c r="J16" i="40"/>
  <c r="AC16" i="40" s="1"/>
  <c r="W16" i="40"/>
  <c r="H42" i="40"/>
  <c r="U42" i="40" s="1"/>
  <c r="H40" i="40"/>
  <c r="U40" i="40" s="1"/>
  <c r="H34" i="40"/>
  <c r="B41" i="1"/>
  <c r="J42" i="40"/>
  <c r="AC42" i="40"/>
  <c r="J40" i="40"/>
  <c r="H16" i="40"/>
  <c r="AB16" i="40" s="1"/>
  <c r="F32" i="40"/>
  <c r="M1" i="46"/>
  <c r="M6" i="46"/>
  <c r="M10" i="46"/>
  <c r="N2" i="46"/>
  <c r="N5" i="46"/>
  <c r="F58" i="46"/>
  <c r="H61" i="46" s="1"/>
  <c r="N7" i="46"/>
  <c r="M7" i="46"/>
  <c r="M11" i="46"/>
  <c r="N3" i="46"/>
  <c r="N6" i="46"/>
  <c r="N10" i="46"/>
  <c r="F69" i="46"/>
  <c r="H71" i="46" s="1"/>
  <c r="J13" i="40"/>
  <c r="F34" i="44"/>
  <c r="AB32" i="40"/>
  <c r="J23" i="40"/>
  <c r="AC23" i="40" s="1"/>
  <c r="F23" i="40"/>
  <c r="S23" i="40" s="1"/>
  <c r="AC15" i="40"/>
  <c r="AB16" i="39"/>
  <c r="U23" i="35"/>
  <c r="H20" i="35"/>
  <c r="U20" i="35" s="1"/>
  <c r="F20" i="35"/>
  <c r="S20" i="35" s="1"/>
  <c r="H15" i="34"/>
  <c r="AB15" i="34" s="1"/>
  <c r="J15" i="34"/>
  <c r="AC15" i="34" s="1"/>
  <c r="H41" i="33"/>
  <c r="U41" i="33" s="1"/>
  <c r="F30" i="40"/>
  <c r="AA30" i="40" s="1"/>
  <c r="AA29" i="35"/>
  <c r="AB21" i="39"/>
  <c r="U21" i="39"/>
  <c r="AB33" i="36"/>
  <c r="F33" i="37"/>
  <c r="AA33" i="37" s="1"/>
  <c r="AC30" i="34"/>
  <c r="U17" i="34"/>
  <c r="AA11" i="34"/>
  <c r="H15" i="33"/>
  <c r="U15" i="33" s="1"/>
  <c r="U16" i="40"/>
  <c r="H25" i="40"/>
  <c r="AB25" i="40" s="1"/>
  <c r="J37" i="34"/>
  <c r="J36" i="33"/>
  <c r="AC36" i="33" s="1"/>
  <c r="S41" i="40"/>
  <c r="H23" i="39"/>
  <c r="AB23" i="39" s="1"/>
  <c r="J23" i="39"/>
  <c r="AC23" i="39" s="1"/>
  <c r="S15" i="34"/>
  <c r="AA15" i="34"/>
  <c r="AA41" i="33"/>
  <c r="AA34" i="33"/>
  <c r="J34" i="33"/>
  <c r="W34" i="33" s="1"/>
  <c r="W14" i="35"/>
  <c r="F90" i="34"/>
  <c r="G90" i="34" s="1"/>
  <c r="H90" i="34" s="1"/>
  <c r="I90" i="34" s="1"/>
  <c r="J90" i="34" s="1"/>
  <c r="K90" i="34" s="1"/>
  <c r="L90" i="34" s="1"/>
  <c r="M90" i="34" s="1"/>
  <c r="F32" i="37"/>
  <c r="U11" i="35"/>
  <c r="S46" i="34"/>
  <c r="U32" i="34"/>
  <c r="AC14" i="34"/>
  <c r="U12" i="34"/>
  <c r="AB13" i="33"/>
  <c r="G80" i="34"/>
  <c r="F17" i="34"/>
  <c r="AA17" i="34" s="1"/>
  <c r="J17" i="34"/>
  <c r="AC17" i="34" s="1"/>
  <c r="H11" i="34"/>
  <c r="AB11" i="34" s="1"/>
  <c r="J35" i="33"/>
  <c r="W35" i="33"/>
  <c r="H11" i="33"/>
  <c r="H10" i="33"/>
  <c r="U10" i="33" s="1"/>
  <c r="J10" i="33"/>
  <c r="AC10" i="33" s="1"/>
  <c r="U11" i="37"/>
  <c r="AC16" i="35"/>
  <c r="J11" i="34"/>
  <c r="W11" i="34" s="1"/>
  <c r="F25" i="40"/>
  <c r="AA25" i="40" s="1"/>
  <c r="J11" i="33"/>
  <c r="W11" i="33" s="1"/>
  <c r="H33" i="37"/>
  <c r="AB33" i="37" s="1"/>
  <c r="W15" i="34"/>
  <c r="AB20" i="35"/>
  <c r="W23" i="40"/>
  <c r="D73" i="9"/>
  <c r="N73" i="9" s="1"/>
  <c r="B11" i="1"/>
  <c r="E11" i="1" s="1"/>
  <c r="B9" i="1"/>
  <c r="E9" i="1" s="1"/>
  <c r="B7" i="1"/>
  <c r="E7" i="1" s="1"/>
  <c r="C20" i="43"/>
  <c r="F6" i="1"/>
  <c r="AP6" i="1" s="1"/>
  <c r="F32" i="15"/>
  <c r="F59" i="15" s="1"/>
  <c r="AC25" i="36"/>
  <c r="S23" i="36"/>
  <c r="S8" i="36"/>
  <c r="AA26" i="36"/>
  <c r="AA28" i="36"/>
  <c r="H20" i="36"/>
  <c r="U20" i="36" s="1"/>
  <c r="F68" i="36"/>
  <c r="G68" i="36"/>
  <c r="J20" i="36"/>
  <c r="F20" i="36"/>
  <c r="S20" i="36" s="1"/>
  <c r="F62" i="36"/>
  <c r="G62" i="36" s="1"/>
  <c r="J14" i="36"/>
  <c r="AC14" i="36" s="1"/>
  <c r="H14" i="36"/>
  <c r="AB14" i="36" s="1"/>
  <c r="F14" i="36"/>
  <c r="AA14" i="36" s="1"/>
  <c r="U27" i="36"/>
  <c r="U32" i="36"/>
  <c r="S16" i="36"/>
  <c r="S29" i="36"/>
  <c r="U22" i="35"/>
  <c r="AA13" i="35"/>
  <c r="S8" i="35"/>
  <c r="AA20" i="35"/>
  <c r="AC10" i="35"/>
  <c r="AC18" i="35"/>
  <c r="W18" i="35"/>
  <c r="U18" i="35"/>
  <c r="AB18" i="35"/>
  <c r="S30" i="35"/>
  <c r="AB30" i="35"/>
  <c r="S27" i="35"/>
  <c r="S28" i="35"/>
  <c r="J26" i="35"/>
  <c r="W26" i="35" s="1"/>
  <c r="F26" i="35"/>
  <c r="S26" i="35" s="1"/>
  <c r="H26" i="35"/>
  <c r="AB26" i="35" s="1"/>
  <c r="S17" i="37"/>
  <c r="W28" i="37"/>
  <c r="AA31" i="37"/>
  <c r="J33" i="37"/>
  <c r="W33" i="37" s="1"/>
  <c r="H99" i="37"/>
  <c r="I99" i="37" s="1"/>
  <c r="J99" i="37"/>
  <c r="K99" i="37" s="1"/>
  <c r="L99" i="37" s="1"/>
  <c r="M99" i="37" s="1"/>
  <c r="S29" i="37"/>
  <c r="J19" i="37"/>
  <c r="AC19" i="37" s="1"/>
  <c r="G75" i="37"/>
  <c r="F19" i="37"/>
  <c r="H19" i="37"/>
  <c r="J17" i="37"/>
  <c r="AC17" i="37" s="1"/>
  <c r="AC21" i="37"/>
  <c r="W21" i="37"/>
  <c r="AC11" i="37"/>
  <c r="W32" i="37"/>
  <c r="U35" i="37"/>
  <c r="U8" i="37"/>
  <c r="AB21" i="37"/>
  <c r="U21" i="37"/>
  <c r="S37" i="37"/>
  <c r="AA11" i="37"/>
  <c r="W46" i="34"/>
  <c r="AA40" i="34"/>
  <c r="U30" i="34"/>
  <c r="AB33" i="34"/>
  <c r="AA30" i="34"/>
  <c r="AA33" i="34"/>
  <c r="U44" i="34"/>
  <c r="U34" i="34"/>
  <c r="J25" i="34"/>
  <c r="W25" i="34" s="1"/>
  <c r="H25" i="34"/>
  <c r="U25" i="34" s="1"/>
  <c r="F25" i="34"/>
  <c r="J23" i="34"/>
  <c r="F86" i="34"/>
  <c r="G86" i="34" s="1"/>
  <c r="F23" i="34"/>
  <c r="H23" i="34"/>
  <c r="W17" i="34"/>
  <c r="W10" i="34"/>
  <c r="AC40" i="34"/>
  <c r="W44" i="34"/>
  <c r="W19" i="34"/>
  <c r="AC21" i="34"/>
  <c r="W21" i="34"/>
  <c r="AB21" i="34"/>
  <c r="U21" i="34"/>
  <c r="U19" i="34"/>
  <c r="AA41" i="34"/>
  <c r="S10" i="34"/>
  <c r="U39" i="33"/>
  <c r="S35" i="33"/>
  <c r="AC35" i="33"/>
  <c r="S29" i="33"/>
  <c r="W31" i="33"/>
  <c r="W43" i="33"/>
  <c r="U46" i="33"/>
  <c r="W39" i="33"/>
  <c r="H25" i="33"/>
  <c r="J25" i="33"/>
  <c r="W25" i="33" s="1"/>
  <c r="F87" i="33"/>
  <c r="G87" i="33" s="1"/>
  <c r="H87" i="33" s="1"/>
  <c r="I87" i="33" s="1"/>
  <c r="J87" i="33" s="1"/>
  <c r="K87" i="33" s="1"/>
  <c r="L87" i="33" s="1"/>
  <c r="M87" i="33" s="1"/>
  <c r="F25" i="33"/>
  <c r="S25" i="33" s="1"/>
  <c r="F85" i="33"/>
  <c r="G85" i="33"/>
  <c r="J23" i="33"/>
  <c r="W23" i="33" s="1"/>
  <c r="F23" i="33"/>
  <c r="S23" i="33" s="1"/>
  <c r="H23" i="33"/>
  <c r="AB23" i="33" s="1"/>
  <c r="F17" i="33"/>
  <c r="AA17" i="33" s="1"/>
  <c r="H17" i="33"/>
  <c r="U17" i="33" s="1"/>
  <c r="J17" i="33"/>
  <c r="W17" i="33" s="1"/>
  <c r="S10" i="33"/>
  <c r="S14" i="33"/>
  <c r="W14" i="33"/>
  <c r="AB21" i="33"/>
  <c r="U21" i="33"/>
  <c r="AA36" i="33"/>
  <c r="S44" i="21"/>
  <c r="AB37" i="21"/>
  <c r="AC46" i="21"/>
  <c r="AC26" i="21"/>
  <c r="J23" i="21"/>
  <c r="AC23" i="21" s="1"/>
  <c r="F23" i="21"/>
  <c r="AA23" i="21" s="1"/>
  <c r="H23" i="21"/>
  <c r="U23" i="21" s="1"/>
  <c r="F15" i="21"/>
  <c r="S15" i="21" s="1"/>
  <c r="J15" i="21"/>
  <c r="W15" i="21" s="1"/>
  <c r="H15" i="21"/>
  <c r="U15" i="21" s="1"/>
  <c r="W13" i="21"/>
  <c r="AC21" i="21"/>
  <c r="W21" i="21"/>
  <c r="W44" i="21"/>
  <c r="AB21" i="21"/>
  <c r="S16" i="40"/>
  <c r="W11" i="40"/>
  <c r="AA21" i="40"/>
  <c r="U21" i="40"/>
  <c r="W25" i="40"/>
  <c r="U25" i="40"/>
  <c r="W42" i="40"/>
  <c r="U35" i="40"/>
  <c r="F37" i="40"/>
  <c r="J37" i="40"/>
  <c r="AC37" i="40" s="1"/>
  <c r="H37" i="40"/>
  <c r="U37" i="40" s="1"/>
  <c r="G113" i="40"/>
  <c r="H113" i="40" s="1"/>
  <c r="I113" i="40" s="1"/>
  <c r="J113" i="40" s="1"/>
  <c r="K113" i="40" s="1"/>
  <c r="L113" i="40" s="1"/>
  <c r="M113" i="40" s="1"/>
  <c r="F39" i="40"/>
  <c r="S39" i="40" s="1"/>
  <c r="H39" i="40"/>
  <c r="J39" i="40"/>
  <c r="W39" i="40" s="1"/>
  <c r="W38" i="40"/>
  <c r="F29" i="40"/>
  <c r="AA29" i="40" s="1"/>
  <c r="H29" i="40"/>
  <c r="U29" i="40" s="1"/>
  <c r="J29" i="40"/>
  <c r="AC29" i="40" s="1"/>
  <c r="F98" i="40"/>
  <c r="G98" i="40" s="1"/>
  <c r="H98" i="40" s="1"/>
  <c r="I98" i="40" s="1"/>
  <c r="J98" i="40" s="1"/>
  <c r="K98" i="40" s="1"/>
  <c r="L98" i="40" s="1"/>
  <c r="M98" i="40" s="1"/>
  <c r="S30" i="40"/>
  <c r="AA23" i="40"/>
  <c r="F88" i="40"/>
  <c r="G88" i="40" s="1"/>
  <c r="F19" i="40"/>
  <c r="AA19" i="40" s="1"/>
  <c r="H19" i="40"/>
  <c r="J19" i="40"/>
  <c r="W19" i="40" s="1"/>
  <c r="W17" i="40"/>
  <c r="AC17" i="40"/>
  <c r="F17" i="40"/>
  <c r="H17" i="40"/>
  <c r="U17" i="40" s="1"/>
  <c r="W21" i="40"/>
  <c r="AB40" i="40"/>
  <c r="U10" i="40"/>
  <c r="U27" i="40"/>
  <c r="AB27" i="40"/>
  <c r="AC21" i="39"/>
  <c r="U11" i="39"/>
  <c r="U23" i="39"/>
  <c r="S38" i="39"/>
  <c r="D96" i="9"/>
  <c r="A18" i="64"/>
  <c r="B74" i="63" s="1"/>
  <c r="C53" i="10"/>
  <c r="A25" i="64" s="1"/>
  <c r="A18" i="51"/>
  <c r="B14" i="63" s="1"/>
  <c r="G3" i="46"/>
  <c r="J22" i="46" s="1"/>
  <c r="BL16"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B45" i="46" s="1"/>
  <c r="E58" i="46"/>
  <c r="B56" i="46" s="1"/>
  <c r="A4" i="64"/>
  <c r="A4" i="51"/>
  <c r="B6" i="63" s="1"/>
  <c r="C51" i="10"/>
  <c r="A9" i="64" s="1"/>
  <c r="I100" i="46"/>
  <c r="C24" i="46"/>
  <c r="N100" i="46"/>
  <c r="H100" i="46"/>
  <c r="F108" i="46"/>
  <c r="H80" i="46"/>
  <c r="E100" i="46"/>
  <c r="G100" i="46"/>
  <c r="H84" i="46"/>
  <c r="C100" i="46"/>
  <c r="J100" i="46"/>
  <c r="M100" i="46"/>
  <c r="U12" i="35"/>
  <c r="AB12" i="35"/>
  <c r="W11" i="35"/>
  <c r="AA11" i="35"/>
  <c r="U13" i="37"/>
  <c r="S13" i="21"/>
  <c r="C24" i="9"/>
  <c r="C25" i="9"/>
  <c r="G9" i="1"/>
  <c r="I20" i="46"/>
  <c r="L5" i="54"/>
  <c r="B39" i="63" s="1"/>
  <c r="K5" i="54"/>
  <c r="B38" i="63" s="1"/>
  <c r="T41" i="4"/>
  <c r="B46" i="50"/>
  <c r="B4" i="63" s="1"/>
  <c r="C48" i="35"/>
  <c r="D48" i="35" s="1"/>
  <c r="C52" i="37"/>
  <c r="D52" i="37" s="1"/>
  <c r="E52" i="37" s="1"/>
  <c r="F52" i="37" s="1"/>
  <c r="G52" i="37" s="1"/>
  <c r="H52" i="37" s="1"/>
  <c r="O19" i="46"/>
  <c r="H86" i="46"/>
  <c r="H82" i="46"/>
  <c r="H10" i="48"/>
  <c r="H87" i="46"/>
  <c r="H85" i="46"/>
  <c r="H83" i="46"/>
  <c r="B6" i="1"/>
  <c r="E6" i="1" s="1"/>
  <c r="B10" i="1"/>
  <c r="E10" i="1" s="1"/>
  <c r="B12" i="1"/>
  <c r="E12" i="1" s="1"/>
  <c r="F66" i="36"/>
  <c r="G66" i="36" s="1"/>
  <c r="H18" i="36"/>
  <c r="U18" i="36" s="1"/>
  <c r="U16" i="36"/>
  <c r="S25" i="36"/>
  <c r="AC27" i="36"/>
  <c r="W28" i="36"/>
  <c r="AA32" i="36"/>
  <c r="U13" i="36"/>
  <c r="AA13" i="36"/>
  <c r="W29" i="36"/>
  <c r="W8" i="36"/>
  <c r="AC30" i="35"/>
  <c r="W32" i="35"/>
  <c r="S24" i="35"/>
  <c r="AA33" i="35"/>
  <c r="U32" i="35"/>
  <c r="W22" i="35"/>
  <c r="S32" i="35"/>
  <c r="W35" i="37"/>
  <c r="AC15" i="37"/>
  <c r="AA13" i="37"/>
  <c r="W38" i="37"/>
  <c r="U26" i="37"/>
  <c r="AB28" i="37"/>
  <c r="S28" i="37"/>
  <c r="U38" i="37"/>
  <c r="AB35" i="34"/>
  <c r="AB29" i="34"/>
  <c r="AA29" i="34"/>
  <c r="S19" i="34"/>
  <c r="S8" i="34"/>
  <c r="S43" i="33"/>
  <c r="AB14" i="33"/>
  <c r="AB25" i="21"/>
  <c r="AB45" i="21"/>
  <c r="W25" i="21"/>
  <c r="AA29" i="21"/>
  <c r="W31" i="21"/>
  <c r="W29" i="21"/>
  <c r="G96" i="40"/>
  <c r="J27" i="40"/>
  <c r="AC27" i="40" s="1"/>
  <c r="W37" i="40"/>
  <c r="W30" i="40"/>
  <c r="U38" i="40"/>
  <c r="S40" i="40"/>
  <c r="S42" i="40"/>
  <c r="G105" i="39"/>
  <c r="J31" i="39"/>
  <c r="W31" i="39" s="1"/>
  <c r="W42" i="39"/>
  <c r="W36" i="39"/>
  <c r="AA46" i="39"/>
  <c r="W10" i="39"/>
  <c r="U42" i="39"/>
  <c r="C27" i="39"/>
  <c r="C17" i="40"/>
  <c r="C19" i="40"/>
  <c r="C17" i="39"/>
  <c r="C19" i="39"/>
  <c r="C21" i="39"/>
  <c r="C23" i="40"/>
  <c r="B48" i="46"/>
  <c r="B51" i="46"/>
  <c r="B55" i="46"/>
  <c r="B59" i="46"/>
  <c r="B62" i="46"/>
  <c r="B66" i="46"/>
  <c r="B53" i="46"/>
  <c r="B64" i="46"/>
  <c r="D24" i="15"/>
  <c r="S14" i="36"/>
  <c r="AA20" i="36"/>
  <c r="W14" i="36"/>
  <c r="U14" i="36"/>
  <c r="AB18" i="36"/>
  <c r="AA26" i="35"/>
  <c r="U26" i="35"/>
  <c r="AB19" i="37"/>
  <c r="U19" i="37"/>
  <c r="AC25" i="34"/>
  <c r="U23" i="34"/>
  <c r="AB23" i="34"/>
  <c r="AC23" i="34"/>
  <c r="W23" i="34"/>
  <c r="AB39" i="40"/>
  <c r="U39" i="40"/>
  <c r="AC39" i="40"/>
  <c r="AA39" i="40"/>
  <c r="AA37" i="40"/>
  <c r="S37" i="40"/>
  <c r="W29" i="40"/>
  <c r="AT6" i="3"/>
  <c r="A9" i="51"/>
  <c r="B9" i="63" s="1"/>
  <c r="E4" i="4"/>
  <c r="B21" i="55" s="1"/>
  <c r="B72" i="63" s="1"/>
  <c r="C4" i="4"/>
  <c r="B20" i="55" s="1"/>
  <c r="B70" i="63" s="1"/>
  <c r="J18" i="36"/>
  <c r="AE7" i="1"/>
  <c r="AE6" i="1"/>
  <c r="W18" i="36"/>
  <c r="AC18" i="36"/>
  <c r="AG6" i="1"/>
  <c r="L20" i="6"/>
  <c r="N76" i="9"/>
  <c r="C46" i="9"/>
  <c r="K33" i="9" s="1"/>
  <c r="D58" i="21"/>
  <c r="D70" i="39"/>
  <c r="C72" i="39"/>
  <c r="C67" i="40"/>
  <c r="D65" i="40"/>
  <c r="D67" i="40" s="1"/>
  <c r="H58" i="46"/>
  <c r="J17" i="46"/>
  <c r="C17" i="46"/>
  <c r="F34" i="46"/>
  <c r="F38" i="46"/>
  <c r="F37" i="46"/>
  <c r="H113" i="46"/>
  <c r="Y11" i="59"/>
  <c r="Z11" i="59" s="1"/>
  <c r="AA11" i="59"/>
  <c r="AB11" i="59"/>
  <c r="Y10" i="59"/>
  <c r="Z10" i="59" s="1"/>
  <c r="Y9" i="59"/>
  <c r="Z9" i="59" s="1"/>
  <c r="Y8" i="59"/>
  <c r="Z8" i="59" s="1"/>
  <c r="AB10" i="59"/>
  <c r="AB9" i="59"/>
  <c r="AB8" i="59"/>
  <c r="AA13" i="59"/>
  <c r="X11" i="59"/>
  <c r="X9" i="59"/>
  <c r="X8" i="59"/>
  <c r="AA9" i="59"/>
  <c r="AA8" i="59"/>
  <c r="C25" i="12"/>
  <c r="X7" i="46"/>
  <c r="E17" i="46"/>
  <c r="N17" i="46"/>
  <c r="O17" i="46"/>
  <c r="M17" i="46"/>
  <c r="L17" i="46"/>
  <c r="G13" i="1"/>
  <c r="H70" i="46"/>
  <c r="H73" i="46"/>
  <c r="F35" i="46"/>
  <c r="I17" i="46"/>
  <c r="H63" i="46"/>
  <c r="H64" i="46"/>
  <c r="H66" i="46"/>
  <c r="D100" i="46"/>
  <c r="H62" i="46"/>
  <c r="AF12" i="46"/>
  <c r="K100" i="46"/>
  <c r="AB12" i="46"/>
  <c r="AJ12" i="46"/>
  <c r="H60" i="46"/>
  <c r="H59" i="46"/>
  <c r="H74" i="46"/>
  <c r="H65" i="46"/>
  <c r="H75" i="46"/>
  <c r="E10" i="46"/>
  <c r="E9" i="46"/>
  <c r="E11" i="46"/>
  <c r="E8" i="46"/>
  <c r="H72" i="46"/>
  <c r="H69" i="46"/>
  <c r="H77" i="46"/>
  <c r="H76" i="46"/>
  <c r="AD12" i="46"/>
  <c r="AH12" i="46"/>
  <c r="P21" i="46"/>
  <c r="P22" i="46"/>
  <c r="P23" i="46"/>
  <c r="P25" i="46"/>
  <c r="B73" i="39" s="1"/>
  <c r="P24" i="46"/>
  <c r="B68" i="40" s="1"/>
  <c r="G20" i="46"/>
  <c r="E41" i="46" s="1"/>
  <c r="C41" i="46" s="1"/>
  <c r="F31" i="15"/>
  <c r="F33" i="44"/>
  <c r="N5" i="65"/>
  <c r="B10" i="67"/>
  <c r="N6" i="65"/>
  <c r="E13" i="67"/>
  <c r="B13" i="67"/>
  <c r="N4" i="65"/>
  <c r="F12" i="67"/>
  <c r="E12" i="67"/>
  <c r="E9" i="67"/>
  <c r="E11" i="67"/>
  <c r="B8" i="67"/>
  <c r="B11" i="67"/>
  <c r="E8" i="67"/>
  <c r="F11" i="67"/>
  <c r="F9" i="67"/>
  <c r="F14" i="67"/>
  <c r="N7" i="65"/>
  <c r="F8" i="67"/>
  <c r="B12" i="67"/>
  <c r="F10" i="67"/>
  <c r="N3" i="65"/>
  <c r="B14" i="67"/>
  <c r="B9" i="67"/>
  <c r="F13" i="67"/>
  <c r="E10" i="67"/>
  <c r="E14" i="67"/>
  <c r="AC12" i="37" l="1"/>
  <c r="W12" i="37"/>
  <c r="AB19" i="40"/>
  <c r="U19" i="40"/>
  <c r="AA15" i="40"/>
  <c r="S15" i="40"/>
  <c r="AA23" i="37"/>
  <c r="S23" i="37"/>
  <c r="W13" i="34"/>
  <c r="AC13" i="34"/>
  <c r="AB10" i="36"/>
  <c r="U10" i="36"/>
  <c r="AA43" i="34"/>
  <c r="S43" i="34"/>
  <c r="H27" i="34"/>
  <c r="F27" i="34"/>
  <c r="S27" i="34" s="1"/>
  <c r="AB24" i="36"/>
  <c r="U24" i="36"/>
  <c r="F14" i="40"/>
  <c r="J14" i="40"/>
  <c r="W14" i="40" s="1"/>
  <c r="H14" i="40"/>
  <c r="W41" i="33"/>
  <c r="AC41" i="33"/>
  <c r="AB28" i="34"/>
  <c r="U28" i="34"/>
  <c r="W20" i="36"/>
  <c r="AC20" i="36"/>
  <c r="W29" i="35"/>
  <c r="AC29" i="35"/>
  <c r="S14" i="34"/>
  <c r="AA14" i="34"/>
  <c r="U13" i="40"/>
  <c r="AB13" i="40"/>
  <c r="W10" i="37"/>
  <c r="AC10" i="37"/>
  <c r="S31" i="34"/>
  <c r="AA31" i="34"/>
  <c r="S26" i="21"/>
  <c r="AA26" i="21"/>
  <c r="U27" i="35"/>
  <c r="AB27" i="35"/>
  <c r="AB29" i="36"/>
  <c r="U29" i="36"/>
  <c r="W37" i="34"/>
  <c r="AC37" i="34"/>
  <c r="S10" i="37"/>
  <c r="D72" i="39"/>
  <c r="E70" i="39"/>
  <c r="F70" i="39" s="1"/>
  <c r="U33" i="40"/>
  <c r="AB41" i="34"/>
  <c r="U41" i="34"/>
  <c r="AB37" i="33"/>
  <c r="U37" i="33"/>
  <c r="S34" i="37"/>
  <c r="AA34" i="37"/>
  <c r="BA569" i="3"/>
  <c r="AZ568" i="3"/>
  <c r="BA567" i="3"/>
  <c r="BA553" i="3"/>
  <c r="BA535" i="3"/>
  <c r="BA533" i="3"/>
  <c r="BA519" i="3"/>
  <c r="BA517" i="3"/>
  <c r="AZ517" i="3" s="1"/>
  <c r="AZ516" i="3"/>
  <c r="AZ514" i="3"/>
  <c r="BA505" i="3"/>
  <c r="AZ505" i="3" s="1"/>
  <c r="BA503" i="3"/>
  <c r="AZ497" i="3"/>
  <c r="BA496" i="3"/>
  <c r="AZ496" i="3" s="1"/>
  <c r="BA491" i="3"/>
  <c r="AZ490" i="3"/>
  <c r="S23" i="34"/>
  <c r="AA23" i="34"/>
  <c r="F28" i="15"/>
  <c r="C28" i="15" s="1"/>
  <c r="F66" i="9"/>
  <c r="P72" i="9" s="1"/>
  <c r="F29" i="12"/>
  <c r="F72" i="9"/>
  <c r="F70" i="9"/>
  <c r="D86" i="9"/>
  <c r="F31" i="43"/>
  <c r="C31" i="43" s="1"/>
  <c r="W28" i="35"/>
  <c r="AZ314" i="3"/>
  <c r="W33" i="35"/>
  <c r="AC33" i="35"/>
  <c r="U43" i="34"/>
  <c r="AB43" i="34"/>
  <c r="AB35" i="33"/>
  <c r="U35" i="33"/>
  <c r="F47" i="39"/>
  <c r="AA47" i="39" s="1"/>
  <c r="H47" i="39"/>
  <c r="AB47" i="39" s="1"/>
  <c r="J47" i="39"/>
  <c r="W47" i="39" s="1"/>
  <c r="W40" i="40"/>
  <c r="AC40" i="40"/>
  <c r="AA14" i="35"/>
  <c r="S14" i="35"/>
  <c r="W37" i="21"/>
  <c r="AC37" i="21"/>
  <c r="AB39" i="37"/>
  <c r="U39" i="37"/>
  <c r="H30" i="33"/>
  <c r="F30" i="33"/>
  <c r="J30" i="33"/>
  <c r="H13" i="34"/>
  <c r="F13" i="34"/>
  <c r="H47" i="34"/>
  <c r="F47" i="34"/>
  <c r="J47" i="34"/>
  <c r="F34" i="35"/>
  <c r="J34" i="35"/>
  <c r="H34" i="35"/>
  <c r="U34" i="35" s="1"/>
  <c r="F40" i="37"/>
  <c r="H40" i="37"/>
  <c r="J40" i="37"/>
  <c r="H55" i="46"/>
  <c r="H51" i="46"/>
  <c r="H50" i="46"/>
  <c r="H48" i="46"/>
  <c r="AB32" i="37"/>
  <c r="U32" i="37"/>
  <c r="S38" i="40"/>
  <c r="AA21" i="39"/>
  <c r="AC35" i="34"/>
  <c r="U15" i="39"/>
  <c r="AB15" i="39"/>
  <c r="AA25" i="34"/>
  <c r="S25" i="34"/>
  <c r="AA32" i="40"/>
  <c r="S32" i="40"/>
  <c r="AC36" i="37"/>
  <c r="W36" i="37"/>
  <c r="U40" i="33"/>
  <c r="AB40" i="33"/>
  <c r="AA33" i="33"/>
  <c r="S33" i="33"/>
  <c r="AC13" i="37"/>
  <c r="W13" i="37"/>
  <c r="AB33" i="35"/>
  <c r="U33" i="35"/>
  <c r="AB10" i="34"/>
  <c r="U10" i="34"/>
  <c r="AB8" i="35"/>
  <c r="U8" i="35"/>
  <c r="F9" i="37"/>
  <c r="J9" i="37"/>
  <c r="H9" i="37"/>
  <c r="F12" i="37"/>
  <c r="H12" i="37"/>
  <c r="AC42" i="34"/>
  <c r="W42" i="34"/>
  <c r="AB31" i="35"/>
  <c r="U31" i="35"/>
  <c r="J37" i="39"/>
  <c r="H37" i="39"/>
  <c r="BL569" i="3"/>
  <c r="BL567" i="3"/>
  <c r="BL547" i="3"/>
  <c r="AZ547" i="3" s="1"/>
  <c r="BA538" i="3"/>
  <c r="BA529" i="3"/>
  <c r="BL524" i="3"/>
  <c r="BA522" i="3"/>
  <c r="BA520" i="3"/>
  <c r="BL519" i="3"/>
  <c r="AZ519" i="3" s="1"/>
  <c r="BL517" i="3"/>
  <c r="BA515" i="3"/>
  <c r="BA513" i="3"/>
  <c r="AZ513" i="3" s="1"/>
  <c r="BA512" i="3"/>
  <c r="C7" i="46"/>
  <c r="W17" i="37"/>
  <c r="S35" i="40"/>
  <c r="S33" i="36"/>
  <c r="J29" i="39"/>
  <c r="AA36" i="34"/>
  <c r="AZ320" i="3"/>
  <c r="AZ365" i="3"/>
  <c r="AZ347" i="3"/>
  <c r="AZ377" i="3"/>
  <c r="AA12" i="21"/>
  <c r="F14" i="21"/>
  <c r="AA14" i="21" s="1"/>
  <c r="AB40" i="34"/>
  <c r="AC31" i="36"/>
  <c r="W31" i="36"/>
  <c r="G563" i="3"/>
  <c r="BA534" i="3"/>
  <c r="BL532" i="3"/>
  <c r="BA531" i="3"/>
  <c r="BA530" i="3"/>
  <c r="G529" i="3"/>
  <c r="BL528" i="3"/>
  <c r="BA528" i="3"/>
  <c r="AZ528" i="3" s="1"/>
  <c r="BL527" i="3"/>
  <c r="AZ527" i="3" s="1"/>
  <c r="BA527" i="3"/>
  <c r="BL525" i="3"/>
  <c r="AZ525" i="3" s="1"/>
  <c r="U11" i="34"/>
  <c r="U46" i="34"/>
  <c r="S33" i="40"/>
  <c r="J17" i="39"/>
  <c r="W17" i="39" s="1"/>
  <c r="AZ355" i="3"/>
  <c r="BL520" i="3"/>
  <c r="AB33" i="33"/>
  <c r="U33" i="33"/>
  <c r="BA552" i="3"/>
  <c r="W19" i="37"/>
  <c r="AA22" i="36"/>
  <c r="W29" i="34"/>
  <c r="AC11" i="34"/>
  <c r="S15" i="37"/>
  <c r="U11" i="36"/>
  <c r="S16" i="39"/>
  <c r="W32" i="40"/>
  <c r="W35" i="40"/>
  <c r="AB15" i="40"/>
  <c r="H29" i="39"/>
  <c r="H17" i="39"/>
  <c r="U17" i="39" s="1"/>
  <c r="AZ354" i="3"/>
  <c r="AZ331" i="3"/>
  <c r="AZ115" i="3"/>
  <c r="J28" i="33"/>
  <c r="W28" i="33" s="1"/>
  <c r="G571" i="3"/>
  <c r="J24" i="36"/>
  <c r="F24" i="36"/>
  <c r="AA24" i="36" s="1"/>
  <c r="AC41" i="21"/>
  <c r="W41" i="21"/>
  <c r="G533" i="3"/>
  <c r="BL488" i="3"/>
  <c r="AB20" i="36"/>
  <c r="AC33" i="37"/>
  <c r="F29" i="39"/>
  <c r="AA29" i="39" s="1"/>
  <c r="AZ300" i="3"/>
  <c r="AZ380" i="3"/>
  <c r="AZ359" i="3"/>
  <c r="AZ327" i="3"/>
  <c r="BL538" i="3"/>
  <c r="BL562" i="3"/>
  <c r="H46" i="21"/>
  <c r="S37" i="33"/>
  <c r="W38" i="33"/>
  <c r="AC38" i="33"/>
  <c r="BL511" i="3"/>
  <c r="AZ511" i="3" s="1"/>
  <c r="BA489" i="3"/>
  <c r="BA488" i="3"/>
  <c r="BL485" i="3"/>
  <c r="BA481" i="3"/>
  <c r="BR5" i="3"/>
  <c r="E69" i="46"/>
  <c r="B67" i="46" s="1"/>
  <c r="AB37" i="37"/>
  <c r="AA27" i="36"/>
  <c r="AC30" i="37"/>
  <c r="BL566" i="3"/>
  <c r="U38" i="33"/>
  <c r="BL571" i="3"/>
  <c r="BL415" i="3"/>
  <c r="BL422" i="3"/>
  <c r="BA469" i="3"/>
  <c r="BA470" i="3"/>
  <c r="BA475" i="3"/>
  <c r="BA369" i="3"/>
  <c r="BA215" i="3"/>
  <c r="BA219" i="3"/>
  <c r="AZ219" i="3" s="1"/>
  <c r="BL168" i="3"/>
  <c r="BA30" i="3"/>
  <c r="BL44" i="3"/>
  <c r="BL54" i="3"/>
  <c r="BA85" i="3"/>
  <c r="BL107" i="3"/>
  <c r="Y26" i="59"/>
  <c r="Z26" i="59" s="1"/>
  <c r="C12" i="59"/>
  <c r="G568" i="3"/>
  <c r="G502" i="3"/>
  <c r="BA499" i="3"/>
  <c r="BA495" i="3"/>
  <c r="BA494" i="3"/>
  <c r="BL493" i="3"/>
  <c r="BA493" i="3"/>
  <c r="BA492" i="3"/>
  <c r="BL491" i="3"/>
  <c r="G490" i="3"/>
  <c r="BA401" i="3"/>
  <c r="AZ401" i="3" s="1"/>
  <c r="G414" i="3"/>
  <c r="G433" i="3"/>
  <c r="G442" i="3"/>
  <c r="G443" i="3"/>
  <c r="BL457" i="3"/>
  <c r="BA468" i="3"/>
  <c r="BL470" i="3"/>
  <c r="G480" i="3"/>
  <c r="G347" i="3"/>
  <c r="G363" i="3"/>
  <c r="BA368" i="3"/>
  <c r="G221" i="3"/>
  <c r="BA245" i="3"/>
  <c r="BA270" i="3"/>
  <c r="BL271" i="3"/>
  <c r="G272" i="3"/>
  <c r="G273" i="3"/>
  <c r="G282" i="3"/>
  <c r="G289" i="3"/>
  <c r="G115" i="3"/>
  <c r="G34" i="3"/>
  <c r="G35" i="3"/>
  <c r="BL43" i="3"/>
  <c r="G44" i="3"/>
  <c r="BA53" i="3"/>
  <c r="BA71" i="3"/>
  <c r="BA72" i="3"/>
  <c r="BA73" i="3"/>
  <c r="AZ73" i="3" s="1"/>
  <c r="G75" i="3"/>
  <c r="G76" i="3"/>
  <c r="G84" i="3"/>
  <c r="BA104" i="3"/>
  <c r="G107" i="3"/>
  <c r="F21" i="33"/>
  <c r="E28" i="59"/>
  <c r="E29" i="59" s="1"/>
  <c r="U29" i="59" s="1"/>
  <c r="C52" i="59"/>
  <c r="AA10" i="46"/>
  <c r="BL401" i="3"/>
  <c r="BL403" i="3"/>
  <c r="BL410" i="3"/>
  <c r="BL411" i="3"/>
  <c r="G413" i="3"/>
  <c r="BL419" i="3"/>
  <c r="G441" i="3"/>
  <c r="BA448" i="3"/>
  <c r="BL455" i="3"/>
  <c r="G479" i="3"/>
  <c r="BA341" i="3"/>
  <c r="AZ341" i="3" s="1"/>
  <c r="BL348" i="3"/>
  <c r="AZ348" i="3" s="1"/>
  <c r="BL368" i="3"/>
  <c r="G220" i="3"/>
  <c r="BL226" i="3"/>
  <c r="BA238" i="3"/>
  <c r="G239" i="3"/>
  <c r="BL246" i="3"/>
  <c r="G255" i="3"/>
  <c r="BA292" i="3"/>
  <c r="BA296" i="3"/>
  <c r="G113" i="3"/>
  <c r="G138" i="3"/>
  <c r="BL160" i="3"/>
  <c r="G179" i="3"/>
  <c r="G196" i="3"/>
  <c r="G203" i="3"/>
  <c r="G204" i="3"/>
  <c r="G30" i="3"/>
  <c r="BL40" i="3"/>
  <c r="G41" i="3"/>
  <c r="G51" i="3"/>
  <c r="G52" i="3"/>
  <c r="G59" i="3"/>
  <c r="B48" i="59"/>
  <c r="B49" i="59" s="1"/>
  <c r="S49" i="59" s="1"/>
  <c r="BA407" i="3"/>
  <c r="BA416" i="3"/>
  <c r="G420" i="3"/>
  <c r="BL428" i="3"/>
  <c r="BL429" i="3"/>
  <c r="BA430" i="3"/>
  <c r="BL432" i="3"/>
  <c r="BL467" i="3"/>
  <c r="BA205" i="3"/>
  <c r="BL256" i="3"/>
  <c r="BL118" i="3"/>
  <c r="AZ118" i="3" s="1"/>
  <c r="G129" i="3"/>
  <c r="BA133" i="3"/>
  <c r="BA136" i="3"/>
  <c r="BL29" i="3"/>
  <c r="BL88" i="3"/>
  <c r="BA111" i="3"/>
  <c r="I20" i="57"/>
  <c r="B25" i="59"/>
  <c r="S25" i="59" s="1"/>
  <c r="B37" i="59"/>
  <c r="S37" i="59" s="1"/>
  <c r="F36" i="59"/>
  <c r="F37" i="59" s="1"/>
  <c r="V37" i="59" s="1"/>
  <c r="E44" i="59"/>
  <c r="E45" i="59" s="1"/>
  <c r="U45" i="59" s="1"/>
  <c r="C16" i="59"/>
  <c r="BL389" i="3"/>
  <c r="G390" i="3"/>
  <c r="G391" i="3"/>
  <c r="BL392" i="3"/>
  <c r="BL395" i="3"/>
  <c r="BA423" i="3"/>
  <c r="BA425" i="3"/>
  <c r="AZ425" i="3" s="1"/>
  <c r="G428" i="3"/>
  <c r="G438" i="3"/>
  <c r="BA445" i="3"/>
  <c r="G447" i="3"/>
  <c r="G449" i="3"/>
  <c r="BA455" i="3"/>
  <c r="BA464" i="3"/>
  <c r="BA465" i="3"/>
  <c r="BL466" i="3"/>
  <c r="G467" i="3"/>
  <c r="G325" i="3"/>
  <c r="G333" i="3"/>
  <c r="BA388" i="3"/>
  <c r="AZ388" i="3" s="1"/>
  <c r="BL388" i="3"/>
  <c r="BA230" i="3"/>
  <c r="G252" i="3"/>
  <c r="G268" i="3"/>
  <c r="BA273" i="3"/>
  <c r="BL275" i="3"/>
  <c r="G276" i="3"/>
  <c r="G286" i="3"/>
  <c r="BA115" i="3"/>
  <c r="G118" i="3"/>
  <c r="BA125" i="3"/>
  <c r="BL126" i="3"/>
  <c r="AZ126" i="3" s="1"/>
  <c r="G127" i="3"/>
  <c r="G143" i="3"/>
  <c r="BA148" i="3"/>
  <c r="G151" i="3"/>
  <c r="BL191" i="3"/>
  <c r="G192" i="3"/>
  <c r="G201" i="3"/>
  <c r="BL26" i="3"/>
  <c r="G28" i="3"/>
  <c r="G29" i="3"/>
  <c r="BA35" i="3"/>
  <c r="BL37" i="3"/>
  <c r="G68" i="3"/>
  <c r="G70" i="3"/>
  <c r="G88" i="3"/>
  <c r="Y27" i="59"/>
  <c r="Z27" i="59" s="1"/>
  <c r="AC12" i="46"/>
  <c r="D13" i="59"/>
  <c r="D17" i="59"/>
  <c r="BA565" i="3"/>
  <c r="AZ565" i="3" s="1"/>
  <c r="BA562" i="3"/>
  <c r="BA540" i="3"/>
  <c r="G496" i="3"/>
  <c r="G489" i="3"/>
  <c r="G389" i="3"/>
  <c r="G408" i="3"/>
  <c r="G417" i="3"/>
  <c r="G426" i="3"/>
  <c r="G466" i="3"/>
  <c r="G307" i="3"/>
  <c r="BL385" i="3"/>
  <c r="G208" i="3"/>
  <c r="G235" i="3"/>
  <c r="G243" i="3"/>
  <c r="BL259" i="3"/>
  <c r="G275" i="3"/>
  <c r="BA282" i="3"/>
  <c r="BL283" i="3"/>
  <c r="G284" i="3"/>
  <c r="BL284" i="3"/>
  <c r="G292" i="3"/>
  <c r="G117" i="3"/>
  <c r="G142" i="3"/>
  <c r="BA181" i="3"/>
  <c r="AZ181" i="3" s="1"/>
  <c r="G183" i="3"/>
  <c r="BL183" i="3"/>
  <c r="BL190" i="3"/>
  <c r="G191" i="3"/>
  <c r="G48" i="3"/>
  <c r="BA65" i="3"/>
  <c r="G78" i="3"/>
  <c r="G101" i="3"/>
  <c r="BL110" i="3"/>
  <c r="X21" i="59"/>
  <c r="Y24" i="59"/>
  <c r="Z24" i="59" s="1"/>
  <c r="AA27" i="59"/>
  <c r="E36" i="59"/>
  <c r="G555" i="3"/>
  <c r="G548" i="3"/>
  <c r="BL492" i="3"/>
  <c r="G397" i="3"/>
  <c r="G398" i="3"/>
  <c r="G436" i="3"/>
  <c r="BA442" i="3"/>
  <c r="G444" i="3"/>
  <c r="G445" i="3"/>
  <c r="G473" i="3"/>
  <c r="BL314" i="3"/>
  <c r="G331" i="3"/>
  <c r="G349" i="3"/>
  <c r="G365" i="3"/>
  <c r="BL376" i="3"/>
  <c r="AZ376" i="3" s="1"/>
  <c r="BL380" i="3"/>
  <c r="G381" i="3"/>
  <c r="G215" i="3"/>
  <c r="BL222" i="3"/>
  <c r="G223" i="3"/>
  <c r="BA224" i="3"/>
  <c r="BL230" i="3"/>
  <c r="G233" i="3"/>
  <c r="G242" i="3"/>
  <c r="BA247" i="3"/>
  <c r="G250" i="3"/>
  <c r="G258" i="3"/>
  <c r="BA281" i="3"/>
  <c r="G283" i="3"/>
  <c r="G133" i="3"/>
  <c r="BA162" i="3"/>
  <c r="AZ162" i="3" s="1"/>
  <c r="G165" i="3"/>
  <c r="BA180" i="3"/>
  <c r="G25" i="3"/>
  <c r="BA32" i="3"/>
  <c r="BA33" i="3"/>
  <c r="BA34" i="3"/>
  <c r="G36" i="3"/>
  <c r="BL38" i="3"/>
  <c r="BL64" i="3"/>
  <c r="G65" i="3"/>
  <c r="BL76" i="3"/>
  <c r="G86" i="3"/>
  <c r="G110" i="3"/>
  <c r="G112" i="3"/>
  <c r="J21" i="33"/>
  <c r="Y21" i="59"/>
  <c r="Z21" i="59" s="1"/>
  <c r="E24" i="59"/>
  <c r="E25" i="59" s="1"/>
  <c r="U25" i="59" s="1"/>
  <c r="C27" i="59"/>
  <c r="D27" i="59" s="1"/>
  <c r="AB27" i="59"/>
  <c r="V69" i="59"/>
  <c r="AA32" i="34"/>
  <c r="S32" i="34"/>
  <c r="AC30" i="33"/>
  <c r="W30" i="33"/>
  <c r="J26" i="33"/>
  <c r="AC26" i="33" s="1"/>
  <c r="F26" i="33"/>
  <c r="AA26" i="33" s="1"/>
  <c r="H26" i="33"/>
  <c r="U26" i="33" s="1"/>
  <c r="J12" i="33"/>
  <c r="H12" i="33"/>
  <c r="J12" i="36"/>
  <c r="F12" i="36"/>
  <c r="H12" i="36"/>
  <c r="AZ489" i="3"/>
  <c r="AZ488" i="3"/>
  <c r="AC9" i="37"/>
  <c r="W9" i="37"/>
  <c r="U43" i="33"/>
  <c r="AB43" i="33"/>
  <c r="AZ495" i="3"/>
  <c r="AZ494" i="3"/>
  <c r="AZ493" i="3"/>
  <c r="AZ298" i="3"/>
  <c r="U16" i="35"/>
  <c r="AB16" i="35"/>
  <c r="AC14" i="21"/>
  <c r="W14" i="21"/>
  <c r="H9" i="35"/>
  <c r="F9" i="35"/>
  <c r="J9" i="35"/>
  <c r="AZ534" i="3"/>
  <c r="AZ530" i="3"/>
  <c r="AB29" i="40"/>
  <c r="H47" i="46"/>
  <c r="S19" i="40"/>
  <c r="U33" i="37"/>
  <c r="AB41" i="33"/>
  <c r="AA27" i="34"/>
  <c r="S32" i="37"/>
  <c r="AA32" i="37"/>
  <c r="AB38" i="34"/>
  <c r="AB37" i="34"/>
  <c r="U37" i="34"/>
  <c r="AZ529" i="3"/>
  <c r="AC12" i="34"/>
  <c r="AA16" i="35"/>
  <c r="S16" i="35"/>
  <c r="AZ373" i="3"/>
  <c r="AZ323" i="3"/>
  <c r="AZ532" i="3"/>
  <c r="AB31" i="21"/>
  <c r="H9" i="34"/>
  <c r="J9" i="34"/>
  <c r="F9" i="34"/>
  <c r="AZ539" i="3"/>
  <c r="AZ537" i="3"/>
  <c r="F28" i="21"/>
  <c r="H28" i="21"/>
  <c r="J28" i="21"/>
  <c r="F81" i="21"/>
  <c r="G81" i="21" s="1"/>
  <c r="F19" i="21"/>
  <c r="AA19" i="21" s="1"/>
  <c r="H19" i="21"/>
  <c r="AB19" i="21" s="1"/>
  <c r="BL500" i="3"/>
  <c r="AZ500" i="3" s="1"/>
  <c r="AA12" i="34"/>
  <c r="S33" i="37"/>
  <c r="H52" i="46"/>
  <c r="H53" i="46"/>
  <c r="AC26" i="35"/>
  <c r="E72" i="39"/>
  <c r="AC19" i="40"/>
  <c r="S17" i="34"/>
  <c r="U41" i="40"/>
  <c r="F28" i="74"/>
  <c r="C28" i="74" s="1"/>
  <c r="M18" i="74"/>
  <c r="F32" i="74"/>
  <c r="F59" i="74" s="1"/>
  <c r="F27" i="43"/>
  <c r="C27" i="43" s="1"/>
  <c r="M20" i="44"/>
  <c r="F71" i="9"/>
  <c r="F30" i="44"/>
  <c r="C30" i="44" s="1"/>
  <c r="M18" i="15"/>
  <c r="AZ303" i="3"/>
  <c r="AA39" i="33"/>
  <c r="S39" i="33"/>
  <c r="E77" i="33"/>
  <c r="F77" i="33" s="1"/>
  <c r="G77" i="33" s="1"/>
  <c r="F15" i="33"/>
  <c r="AA15" i="33" s="1"/>
  <c r="U35" i="35"/>
  <c r="AB35" i="35"/>
  <c r="H54" i="46"/>
  <c r="H49" i="46"/>
  <c r="AB37" i="40"/>
  <c r="A3" i="55"/>
  <c r="B56" i="63" s="1"/>
  <c r="AB25" i="34"/>
  <c r="C20" i="46"/>
  <c r="U30" i="40"/>
  <c r="AC47" i="39"/>
  <c r="AB29" i="33"/>
  <c r="U29" i="33"/>
  <c r="AC33" i="34"/>
  <c r="W33" i="34"/>
  <c r="G123" i="33"/>
  <c r="H123" i="33" s="1"/>
  <c r="I123" i="33" s="1"/>
  <c r="J123" i="33" s="1"/>
  <c r="K123" i="33" s="1"/>
  <c r="L123" i="33" s="1"/>
  <c r="M123" i="33" s="1"/>
  <c r="F42" i="33"/>
  <c r="J42" i="33"/>
  <c r="W42" i="33" s="1"/>
  <c r="H42" i="33"/>
  <c r="U42" i="33" s="1"/>
  <c r="U44" i="21"/>
  <c r="AB44" i="21"/>
  <c r="J36" i="35"/>
  <c r="H36" i="35"/>
  <c r="F36" i="35"/>
  <c r="S29" i="40"/>
  <c r="AC34" i="33"/>
  <c r="U37" i="39"/>
  <c r="AB37" i="39"/>
  <c r="AZ374" i="3"/>
  <c r="S37" i="21"/>
  <c r="AA37" i="21"/>
  <c r="AA12" i="33"/>
  <c r="AC8" i="35"/>
  <c r="W8" i="35"/>
  <c r="H44" i="33"/>
  <c r="J44" i="33"/>
  <c r="F44" i="33"/>
  <c r="J13" i="35"/>
  <c r="AC13" i="35" s="1"/>
  <c r="H13" i="35"/>
  <c r="H14" i="37"/>
  <c r="J14" i="37"/>
  <c r="F14" i="37"/>
  <c r="U27" i="37"/>
  <c r="AB27" i="37"/>
  <c r="AZ520" i="3"/>
  <c r="BA572" i="3"/>
  <c r="BL570" i="3"/>
  <c r="G495" i="3"/>
  <c r="AZ485" i="3"/>
  <c r="AZ506" i="3"/>
  <c r="AZ512" i="3"/>
  <c r="AB26" i="21"/>
  <c r="AZ362" i="3"/>
  <c r="AZ329" i="3"/>
  <c r="AZ322" i="3"/>
  <c r="H24" i="35"/>
  <c r="F46" i="33"/>
  <c r="AA46" i="33" s="1"/>
  <c r="AA42" i="34"/>
  <c r="F19" i="33"/>
  <c r="S19" i="33" s="1"/>
  <c r="S40" i="33"/>
  <c r="W31" i="35"/>
  <c r="I7" i="21"/>
  <c r="G7" i="21"/>
  <c r="E7" i="21"/>
  <c r="F9" i="21"/>
  <c r="S9" i="21" s="1"/>
  <c r="AB34" i="35"/>
  <c r="G524" i="3"/>
  <c r="G481" i="3"/>
  <c r="H9" i="36"/>
  <c r="F9" i="36"/>
  <c r="AZ526" i="3"/>
  <c r="AZ531" i="3"/>
  <c r="AZ538" i="3"/>
  <c r="AA44" i="34"/>
  <c r="AZ339" i="3"/>
  <c r="U23" i="37"/>
  <c r="H25" i="36"/>
  <c r="F45" i="34"/>
  <c r="J46" i="33"/>
  <c r="F31" i="21"/>
  <c r="F46" i="21"/>
  <c r="AA46" i="21" s="1"/>
  <c r="C23" i="39"/>
  <c r="F25" i="37"/>
  <c r="H25" i="37"/>
  <c r="G559" i="3"/>
  <c r="AZ564" i="3"/>
  <c r="S14" i="21"/>
  <c r="H19" i="33"/>
  <c r="AB19" i="33" s="1"/>
  <c r="AA43" i="21"/>
  <c r="AZ345" i="3"/>
  <c r="AZ336" i="3"/>
  <c r="AZ304" i="3"/>
  <c r="AZ381" i="3"/>
  <c r="AZ372" i="3"/>
  <c r="AZ343" i="3"/>
  <c r="AB8" i="34"/>
  <c r="U17" i="37"/>
  <c r="BL518" i="3"/>
  <c r="AZ518" i="3" s="1"/>
  <c r="J45" i="34"/>
  <c r="H14" i="21"/>
  <c r="S38" i="33"/>
  <c r="C29" i="39"/>
  <c r="W39" i="37"/>
  <c r="J27" i="34"/>
  <c r="BL535" i="3"/>
  <c r="AZ535" i="3" s="1"/>
  <c r="G503" i="3"/>
  <c r="G482" i="3"/>
  <c r="AZ569" i="3"/>
  <c r="H27" i="33"/>
  <c r="U27" i="33" s="1"/>
  <c r="F27" i="33"/>
  <c r="AA27" i="33" s="1"/>
  <c r="AB30" i="37"/>
  <c r="U30" i="37"/>
  <c r="AZ515" i="3"/>
  <c r="AZ522" i="3"/>
  <c r="AC34" i="37"/>
  <c r="F11" i="33"/>
  <c r="S11" i="33" s="1"/>
  <c r="AZ378" i="3"/>
  <c r="AZ307" i="3"/>
  <c r="H29" i="21"/>
  <c r="W8" i="21"/>
  <c r="J12" i="21"/>
  <c r="C58" i="33"/>
  <c r="D58" i="33" s="1"/>
  <c r="G7" i="33"/>
  <c r="E7" i="33"/>
  <c r="I7" i="33"/>
  <c r="J9" i="36"/>
  <c r="J26" i="37"/>
  <c r="F26" i="37"/>
  <c r="G527" i="3"/>
  <c r="G525" i="3"/>
  <c r="BL19" i="3"/>
  <c r="BL18" i="3"/>
  <c r="BA18" i="3"/>
  <c r="K145" i="21"/>
  <c r="BA389" i="3"/>
  <c r="AZ389" i="3" s="1"/>
  <c r="BA396" i="3"/>
  <c r="AZ396" i="3" s="1"/>
  <c r="BA398" i="3"/>
  <c r="G399" i="3"/>
  <c r="G400" i="3"/>
  <c r="BL412" i="3"/>
  <c r="G431" i="3"/>
  <c r="BL435" i="3"/>
  <c r="AZ435" i="3" s="1"/>
  <c r="BA437" i="3"/>
  <c r="BL461" i="3"/>
  <c r="BA467" i="3"/>
  <c r="AZ467" i="3" s="1"/>
  <c r="G470" i="3"/>
  <c r="G471" i="3"/>
  <c r="BA386" i="3"/>
  <c r="BA227" i="3"/>
  <c r="BA254" i="3"/>
  <c r="BL14" i="3"/>
  <c r="BL394" i="3"/>
  <c r="BL397" i="3"/>
  <c r="BA443" i="3"/>
  <c r="BL452" i="3"/>
  <c r="BL458" i="3"/>
  <c r="BA460" i="3"/>
  <c r="BL469" i="3"/>
  <c r="AZ469" i="3" s="1"/>
  <c r="BA474" i="3"/>
  <c r="BL476" i="3"/>
  <c r="BA479" i="3"/>
  <c r="BL310" i="3"/>
  <c r="AZ310" i="3" s="1"/>
  <c r="AZ368" i="3"/>
  <c r="G535" i="3"/>
  <c r="BL533" i="3"/>
  <c r="AZ533" i="3" s="1"/>
  <c r="G528" i="3"/>
  <c r="BA524" i="3"/>
  <c r="AZ524" i="3" s="1"/>
  <c r="G519" i="3"/>
  <c r="G497" i="3"/>
  <c r="BA392" i="3"/>
  <c r="BL393" i="3"/>
  <c r="G394" i="3"/>
  <c r="BL398" i="3"/>
  <c r="BA405" i="3"/>
  <c r="G410" i="3"/>
  <c r="BA410" i="3"/>
  <c r="AZ410" i="3" s="1"/>
  <c r="BL416" i="3"/>
  <c r="BA422" i="3"/>
  <c r="AZ422" i="3" s="1"/>
  <c r="G468" i="3"/>
  <c r="BA473" i="3"/>
  <c r="AZ473" i="3" s="1"/>
  <c r="AZ208" i="3"/>
  <c r="G393" i="3"/>
  <c r="BL396" i="3"/>
  <c r="BL406" i="3"/>
  <c r="G407" i="3"/>
  <c r="BL409" i="3"/>
  <c r="BA414" i="3"/>
  <c r="BA419" i="3"/>
  <c r="AZ419" i="3" s="1"/>
  <c r="BL421" i="3"/>
  <c r="G422" i="3"/>
  <c r="G456" i="3"/>
  <c r="BL253" i="3"/>
  <c r="AZ296" i="3"/>
  <c r="BL563" i="3"/>
  <c r="BA563" i="3"/>
  <c r="BL561" i="3"/>
  <c r="AZ561" i="3" s="1"/>
  <c r="BA560" i="3"/>
  <c r="G560" i="3"/>
  <c r="BL559" i="3"/>
  <c r="BA559" i="3"/>
  <c r="BA558" i="3"/>
  <c r="G558" i="3"/>
  <c r="BL557" i="3"/>
  <c r="BA557" i="3"/>
  <c r="BL556" i="3"/>
  <c r="BA556" i="3"/>
  <c r="BL554" i="3"/>
  <c r="BA554" i="3"/>
  <c r="BL553" i="3"/>
  <c r="AZ553" i="3" s="1"/>
  <c r="BL552" i="3"/>
  <c r="AZ552" i="3" s="1"/>
  <c r="BL551" i="3"/>
  <c r="BA550" i="3"/>
  <c r="BL549" i="3"/>
  <c r="AZ549" i="3" s="1"/>
  <c r="BL548" i="3"/>
  <c r="BA548" i="3"/>
  <c r="BA546" i="3"/>
  <c r="BA545" i="3"/>
  <c r="BL544" i="3"/>
  <c r="AZ544" i="3" s="1"/>
  <c r="BL543" i="3"/>
  <c r="BA543" i="3"/>
  <c r="AZ543" i="3" s="1"/>
  <c r="BL542" i="3"/>
  <c r="BA542" i="3"/>
  <c r="BL541" i="3"/>
  <c r="BA541" i="3"/>
  <c r="G541" i="3"/>
  <c r="G532" i="3"/>
  <c r="BL504" i="3"/>
  <c r="BA504" i="3"/>
  <c r="AZ504" i="3" s="1"/>
  <c r="BL503" i="3"/>
  <c r="AZ503" i="3" s="1"/>
  <c r="BL502" i="3"/>
  <c r="BA502" i="3"/>
  <c r="BL501" i="3"/>
  <c r="BA501" i="3"/>
  <c r="AZ501" i="3" s="1"/>
  <c r="G501" i="3"/>
  <c r="BL499" i="3"/>
  <c r="AZ499" i="3" s="1"/>
  <c r="BL498" i="3"/>
  <c r="BA486" i="3"/>
  <c r="G485" i="3"/>
  <c r="BA484" i="3"/>
  <c r="AZ484" i="3" s="1"/>
  <c r="BL483" i="3"/>
  <c r="AZ483" i="3" s="1"/>
  <c r="BL482" i="3"/>
  <c r="BA482" i="3"/>
  <c r="BL481" i="3"/>
  <c r="AZ481" i="3" s="1"/>
  <c r="BL20" i="3"/>
  <c r="G18" i="3"/>
  <c r="BA393" i="3"/>
  <c r="BA402" i="3"/>
  <c r="BL404" i="3"/>
  <c r="BA415" i="3"/>
  <c r="AZ415" i="3" s="1"/>
  <c r="BL424" i="3"/>
  <c r="BA444" i="3"/>
  <c r="AZ444" i="3" s="1"/>
  <c r="BA447" i="3"/>
  <c r="AZ447" i="3" s="1"/>
  <c r="BA451" i="3"/>
  <c r="BL459" i="3"/>
  <c r="BL473" i="3"/>
  <c r="BA478" i="3"/>
  <c r="BA480" i="3"/>
  <c r="BA313" i="3"/>
  <c r="AZ313" i="3" s="1"/>
  <c r="BA350" i="3"/>
  <c r="BL351" i="3"/>
  <c r="BA353" i="3"/>
  <c r="AZ353" i="3" s="1"/>
  <c r="BA357" i="3"/>
  <c r="AZ357" i="3" s="1"/>
  <c r="BA17" i="3"/>
  <c r="AZ17" i="3" s="1"/>
  <c r="BP5" i="3"/>
  <c r="BA390" i="3"/>
  <c r="BL391" i="3"/>
  <c r="BA399" i="3"/>
  <c r="G404" i="3"/>
  <c r="BA404" i="3"/>
  <c r="BA408" i="3"/>
  <c r="BA431" i="3"/>
  <c r="BL433" i="3"/>
  <c r="G434" i="3"/>
  <c r="G454" i="3"/>
  <c r="BL454" i="3"/>
  <c r="BA461" i="3"/>
  <c r="AZ461" i="3" s="1"/>
  <c r="BA462" i="3"/>
  <c r="BL463" i="3"/>
  <c r="BL464" i="3"/>
  <c r="AZ464" i="3" s="1"/>
  <c r="BL472" i="3"/>
  <c r="AZ230" i="3"/>
  <c r="BA420" i="3"/>
  <c r="BL434" i="3"/>
  <c r="BL332" i="3"/>
  <c r="AZ332" i="3" s="1"/>
  <c r="BL334" i="3"/>
  <c r="BA337" i="3"/>
  <c r="AZ337" i="3" s="1"/>
  <c r="G540" i="3"/>
  <c r="G531" i="3"/>
  <c r="G520" i="3"/>
  <c r="G511" i="3"/>
  <c r="G500" i="3"/>
  <c r="G486" i="3"/>
  <c r="M20" i="15"/>
  <c r="M20" i="74"/>
  <c r="F34" i="74"/>
  <c r="F61" i="74" s="1"/>
  <c r="S22" i="31"/>
  <c r="BL390" i="3"/>
  <c r="AZ390" i="3" s="1"/>
  <c r="BA395" i="3"/>
  <c r="AZ395" i="3" s="1"/>
  <c r="BL400" i="3"/>
  <c r="BL407" i="3"/>
  <c r="AZ407" i="3" s="1"/>
  <c r="BA411" i="3"/>
  <c r="AZ411" i="3" s="1"/>
  <c r="BA417" i="3"/>
  <c r="BA428" i="3"/>
  <c r="AZ428" i="3" s="1"/>
  <c r="BA429" i="3"/>
  <c r="BA439" i="3"/>
  <c r="AZ439" i="3" s="1"/>
  <c r="BL440" i="3"/>
  <c r="BL443" i="3"/>
  <c r="BL446" i="3"/>
  <c r="BL449" i="3"/>
  <c r="BA450" i="3"/>
  <c r="AZ450" i="3" s="1"/>
  <c r="BA477" i="3"/>
  <c r="AZ477" i="3" s="1"/>
  <c r="BL479" i="3"/>
  <c r="BL480" i="3"/>
  <c r="BL312" i="3"/>
  <c r="AZ312" i="3" s="1"/>
  <c r="BA289" i="3"/>
  <c r="AZ144" i="3"/>
  <c r="BA319" i="3"/>
  <c r="BL330" i="3"/>
  <c r="AZ330" i="3" s="1"/>
  <c r="BA334" i="3"/>
  <c r="BA385" i="3"/>
  <c r="AZ385" i="3" s="1"/>
  <c r="BA387" i="3"/>
  <c r="BL206" i="3"/>
  <c r="BL209" i="3"/>
  <c r="G212" i="3"/>
  <c r="BA218" i="3"/>
  <c r="BL220" i="3"/>
  <c r="BL221" i="3"/>
  <c r="BA231" i="3"/>
  <c r="BL234" i="3"/>
  <c r="BL237" i="3"/>
  <c r="BA244" i="3"/>
  <c r="BA257" i="3"/>
  <c r="BL260" i="3"/>
  <c r="BA267" i="3"/>
  <c r="BL269" i="3"/>
  <c r="BL270" i="3"/>
  <c r="AZ270" i="3" s="1"/>
  <c r="BA279" i="3"/>
  <c r="BL281" i="3"/>
  <c r="AZ281" i="3" s="1"/>
  <c r="BL282" i="3"/>
  <c r="AZ282" i="3" s="1"/>
  <c r="BA291" i="3"/>
  <c r="AZ291" i="3" s="1"/>
  <c r="BL293" i="3"/>
  <c r="BL173" i="3"/>
  <c r="AZ173" i="3" s="1"/>
  <c r="BA179" i="3"/>
  <c r="AZ179" i="3" s="1"/>
  <c r="BL180" i="3"/>
  <c r="AZ180" i="3" s="1"/>
  <c r="BL182" i="3"/>
  <c r="BA197" i="3"/>
  <c r="AZ197" i="3" s="1"/>
  <c r="BA21" i="3"/>
  <c r="BL25" i="3"/>
  <c r="D52" i="59"/>
  <c r="C53" i="59"/>
  <c r="BA434" i="3"/>
  <c r="BA436" i="3"/>
  <c r="BL438" i="3"/>
  <c r="AZ438" i="3" s="1"/>
  <c r="G440" i="3"/>
  <c r="BA440" i="3"/>
  <c r="BL441" i="3"/>
  <c r="G448" i="3"/>
  <c r="G465" i="3"/>
  <c r="BA466" i="3"/>
  <c r="AZ466" i="3" s="1"/>
  <c r="BA301" i="3"/>
  <c r="AZ301" i="3" s="1"/>
  <c r="BL302" i="3"/>
  <c r="AZ302" i="3" s="1"/>
  <c r="BA311" i="3"/>
  <c r="AZ311" i="3" s="1"/>
  <c r="BA318" i="3"/>
  <c r="AZ318" i="3" s="1"/>
  <c r="G329" i="3"/>
  <c r="BL342" i="3"/>
  <c r="AZ342" i="3" s="1"/>
  <c r="BA349" i="3"/>
  <c r="AZ349" i="3" s="1"/>
  <c r="BL360" i="3"/>
  <c r="AZ360" i="3" s="1"/>
  <c r="BA367" i="3"/>
  <c r="AZ367" i="3" s="1"/>
  <c r="G370" i="3"/>
  <c r="BA375" i="3"/>
  <c r="AZ375" i="3" s="1"/>
  <c r="G379" i="3"/>
  <c r="BA384" i="3"/>
  <c r="AZ384" i="3" s="1"/>
  <c r="G205" i="3"/>
  <c r="G206" i="3"/>
  <c r="BA206" i="3"/>
  <c r="G209" i="3"/>
  <c r="BL211" i="3"/>
  <c r="BA226" i="3"/>
  <c r="AZ226" i="3" s="1"/>
  <c r="BL233" i="3"/>
  <c r="G234" i="3"/>
  <c r="BA241" i="3"/>
  <c r="BA242" i="3"/>
  <c r="G248" i="3"/>
  <c r="BA255" i="3"/>
  <c r="G260" i="3"/>
  <c r="BA266" i="3"/>
  <c r="BL268" i="3"/>
  <c r="AZ268" i="3" s="1"/>
  <c r="G269" i="3"/>
  <c r="BA278" i="3"/>
  <c r="BL280" i="3"/>
  <c r="BA288" i="3"/>
  <c r="BA120" i="3"/>
  <c r="G123" i="3"/>
  <c r="BL133" i="3"/>
  <c r="AZ133" i="3" s="1"/>
  <c r="BL148" i="3"/>
  <c r="AZ148" i="3" s="1"/>
  <c r="G153" i="3"/>
  <c r="BA158" i="3"/>
  <c r="AZ158" i="3" s="1"/>
  <c r="BL161" i="3"/>
  <c r="AZ161" i="3" s="1"/>
  <c r="BL163" i="3"/>
  <c r="BL164" i="3"/>
  <c r="BA168" i="3"/>
  <c r="AZ168" i="3" s="1"/>
  <c r="BA177" i="3"/>
  <c r="G199" i="3"/>
  <c r="BA36" i="3"/>
  <c r="BA37" i="3"/>
  <c r="AZ37" i="3" s="1"/>
  <c r="BL49" i="3"/>
  <c r="BA50" i="3"/>
  <c r="BL387" i="3"/>
  <c r="BL205" i="3"/>
  <c r="AZ205" i="3" s="1"/>
  <c r="BA214" i="3"/>
  <c r="BA217" i="3"/>
  <c r="BL223" i="3"/>
  <c r="BL229" i="3"/>
  <c r="BL236" i="3"/>
  <c r="BL245" i="3"/>
  <c r="AZ245" i="3" s="1"/>
  <c r="BL257" i="3"/>
  <c r="BA265" i="3"/>
  <c r="BL267" i="3"/>
  <c r="BA275" i="3"/>
  <c r="AZ275" i="3" s="1"/>
  <c r="BA276" i="3"/>
  <c r="BL278" i="3"/>
  <c r="BA280" i="3"/>
  <c r="AZ280" i="3" s="1"/>
  <c r="BL291" i="3"/>
  <c r="BL295" i="3"/>
  <c r="BA117" i="3"/>
  <c r="BA119" i="3"/>
  <c r="AZ119" i="3" s="1"/>
  <c r="BA121" i="3"/>
  <c r="BL121" i="3"/>
  <c r="BL122" i="3"/>
  <c r="AZ122" i="3" s="1"/>
  <c r="BA131" i="3"/>
  <c r="AZ131" i="3" s="1"/>
  <c r="BL132" i="3"/>
  <c r="BA140" i="3"/>
  <c r="BL70" i="3"/>
  <c r="BL72" i="3"/>
  <c r="AZ72" i="3" s="1"/>
  <c r="BA413" i="3"/>
  <c r="G416" i="3"/>
  <c r="G418" i="3"/>
  <c r="BL418" i="3"/>
  <c r="BA432" i="3"/>
  <c r="G435" i="3"/>
  <c r="BL436" i="3"/>
  <c r="G437" i="3"/>
  <c r="BA457" i="3"/>
  <c r="AZ457" i="3" s="1"/>
  <c r="BA458" i="3"/>
  <c r="G463" i="3"/>
  <c r="BL465" i="3"/>
  <c r="BL468" i="3"/>
  <c r="BA472" i="3"/>
  <c r="AZ472" i="3" s="1"/>
  <c r="G476" i="3"/>
  <c r="BA476" i="3"/>
  <c r="BL477" i="3"/>
  <c r="G301" i="3"/>
  <c r="G309" i="3"/>
  <c r="BA315" i="3"/>
  <c r="AZ315" i="3" s="1"/>
  <c r="BA317" i="3"/>
  <c r="AZ317" i="3" s="1"/>
  <c r="BL319" i="3"/>
  <c r="BA325" i="3"/>
  <c r="AZ325" i="3" s="1"/>
  <c r="BL326" i="3"/>
  <c r="AZ326" i="3" s="1"/>
  <c r="G336" i="3"/>
  <c r="BL366" i="3"/>
  <c r="AZ366" i="3" s="1"/>
  <c r="G367" i="3"/>
  <c r="BA383" i="3"/>
  <c r="AZ383" i="3" s="1"/>
  <c r="BL384" i="3"/>
  <c r="G386" i="3"/>
  <c r="BL386" i="3"/>
  <c r="G387" i="3"/>
  <c r="BL208" i="3"/>
  <c r="BL217" i="3"/>
  <c r="G218" i="3"/>
  <c r="BL228" i="3"/>
  <c r="G229" i="3"/>
  <c r="BL232" i="3"/>
  <c r="BA233" i="3"/>
  <c r="BL241" i="3"/>
  <c r="G244" i="3"/>
  <c r="BA251" i="3"/>
  <c r="BL255" i="3"/>
  <c r="G257" i="3"/>
  <c r="BL266" i="3"/>
  <c r="G267" i="3"/>
  <c r="BA286" i="3"/>
  <c r="AZ286" i="3" s="1"/>
  <c r="BL288" i="3"/>
  <c r="BL290" i="3"/>
  <c r="G291" i="3"/>
  <c r="BA113" i="3"/>
  <c r="AZ113" i="3" s="1"/>
  <c r="BA116" i="3"/>
  <c r="BL120" i="3"/>
  <c r="G121" i="3"/>
  <c r="G122" i="3"/>
  <c r="BA128" i="3"/>
  <c r="BA129" i="3"/>
  <c r="BL134" i="3"/>
  <c r="AZ134" i="3" s="1"/>
  <c r="BA137" i="3"/>
  <c r="BA139" i="3"/>
  <c r="AZ139" i="3" s="1"/>
  <c r="BA141" i="3"/>
  <c r="BL141" i="3"/>
  <c r="BL142" i="3"/>
  <c r="AZ142" i="3" s="1"/>
  <c r="BA176" i="3"/>
  <c r="BA193" i="3"/>
  <c r="AZ193" i="3" s="1"/>
  <c r="BL55" i="3"/>
  <c r="BL58" i="3"/>
  <c r="BL67" i="3"/>
  <c r="BL437" i="3"/>
  <c r="BL439" i="3"/>
  <c r="BL442" i="3"/>
  <c r="AZ442" i="3" s="1"/>
  <c r="BL445" i="3"/>
  <c r="AZ445" i="3" s="1"/>
  <c r="BL448" i="3"/>
  <c r="AZ448" i="3" s="1"/>
  <c r="BA454" i="3"/>
  <c r="AZ454" i="3" s="1"/>
  <c r="BA456" i="3"/>
  <c r="AZ456" i="3" s="1"/>
  <c r="BA459" i="3"/>
  <c r="AZ459" i="3" s="1"/>
  <c r="BL460" i="3"/>
  <c r="G462" i="3"/>
  <c r="BA463" i="3"/>
  <c r="AZ463" i="3" s="1"/>
  <c r="BA471" i="3"/>
  <c r="BL474" i="3"/>
  <c r="G475" i="3"/>
  <c r="BL478" i="3"/>
  <c r="BA297" i="3"/>
  <c r="AZ297" i="3" s="1"/>
  <c r="BL308" i="3"/>
  <c r="AZ308" i="3" s="1"/>
  <c r="G317" i="3"/>
  <c r="BL335" i="3"/>
  <c r="AZ335" i="3" s="1"/>
  <c r="G375" i="3"/>
  <c r="BA212" i="3"/>
  <c r="BL214" i="3"/>
  <c r="BL216" i="3"/>
  <c r="G217" i="3"/>
  <c r="BL219" i="3"/>
  <c r="BA223" i="3"/>
  <c r="BA225" i="3"/>
  <c r="BL225" i="3"/>
  <c r="G226" i="3"/>
  <c r="G227" i="3"/>
  <c r="G241" i="3"/>
  <c r="BA252" i="3"/>
  <c r="BL252" i="3"/>
  <c r="G253" i="3"/>
  <c r="G254" i="3"/>
  <c r="BL254" i="3"/>
  <c r="G266" i="3"/>
  <c r="BA272" i="3"/>
  <c r="G277" i="3"/>
  <c r="BA277" i="3"/>
  <c r="BA284" i="3"/>
  <c r="AZ284" i="3" s="1"/>
  <c r="BA285" i="3"/>
  <c r="BL287" i="3"/>
  <c r="G288" i="3"/>
  <c r="BL289" i="3"/>
  <c r="G290" i="3"/>
  <c r="BA290" i="3"/>
  <c r="AZ290" i="3" s="1"/>
  <c r="BL292" i="3"/>
  <c r="AZ292" i="3" s="1"/>
  <c r="BL117" i="3"/>
  <c r="BA127" i="3"/>
  <c r="AZ127" i="3" s="1"/>
  <c r="BL130" i="3"/>
  <c r="AZ130" i="3" s="1"/>
  <c r="G131" i="3"/>
  <c r="G149" i="3"/>
  <c r="BA155" i="3"/>
  <c r="AZ155" i="3" s="1"/>
  <c r="G158" i="3"/>
  <c r="BL167" i="3"/>
  <c r="BL177" i="3"/>
  <c r="BL186" i="3"/>
  <c r="BA187" i="3"/>
  <c r="BL198" i="3"/>
  <c r="BL36" i="3"/>
  <c r="BA44" i="3"/>
  <c r="BA47" i="3"/>
  <c r="U17" i="59"/>
  <c r="E16" i="59"/>
  <c r="E15" i="59" s="1"/>
  <c r="BL316" i="3"/>
  <c r="AZ316" i="3" s="1"/>
  <c r="BL350" i="3"/>
  <c r="BA351" i="3"/>
  <c r="BL364" i="3"/>
  <c r="AZ364" i="3" s="1"/>
  <c r="BA371" i="3"/>
  <c r="AZ371" i="3" s="1"/>
  <c r="BL382" i="3"/>
  <c r="AZ382" i="3" s="1"/>
  <c r="BA207" i="3"/>
  <c r="AZ207" i="3" s="1"/>
  <c r="BA210" i="3"/>
  <c r="BA211" i="3"/>
  <c r="BA213" i="3"/>
  <c r="BL213" i="3"/>
  <c r="BA222" i="3"/>
  <c r="AZ222" i="3" s="1"/>
  <c r="BL227" i="3"/>
  <c r="BA228" i="3"/>
  <c r="BL235" i="3"/>
  <c r="BA236" i="3"/>
  <c r="BA263" i="3"/>
  <c r="BA271" i="3"/>
  <c r="BL274" i="3"/>
  <c r="BL276" i="3"/>
  <c r="BA283" i="3"/>
  <c r="BL285" i="3"/>
  <c r="BL286" i="3"/>
  <c r="BA294" i="3"/>
  <c r="AZ294" i="3" s="1"/>
  <c r="BA295" i="3"/>
  <c r="AZ295" i="3" s="1"/>
  <c r="BL114" i="3"/>
  <c r="AZ114" i="3" s="1"/>
  <c r="BL116" i="3"/>
  <c r="BA124" i="3"/>
  <c r="AZ124" i="3" s="1"/>
  <c r="BL128" i="3"/>
  <c r="BA135" i="3"/>
  <c r="AZ135" i="3" s="1"/>
  <c r="BL137" i="3"/>
  <c r="BL140" i="3"/>
  <c r="BA145" i="3"/>
  <c r="BL157" i="3"/>
  <c r="AZ157" i="3" s="1"/>
  <c r="BL176" i="3"/>
  <c r="BA182" i="3"/>
  <c r="BA28" i="3"/>
  <c r="BL61" i="3"/>
  <c r="BA77" i="3"/>
  <c r="BL95" i="3"/>
  <c r="BA108" i="3"/>
  <c r="BL430" i="3"/>
  <c r="AZ430" i="3" s="1"/>
  <c r="BL431" i="3"/>
  <c r="G432" i="3"/>
  <c r="BA433" i="3"/>
  <c r="BA441" i="3"/>
  <c r="BA446" i="3"/>
  <c r="AZ446" i="3" s="1"/>
  <c r="BA449" i="3"/>
  <c r="AZ449" i="3" s="1"/>
  <c r="BA452" i="3"/>
  <c r="BL453" i="3"/>
  <c r="AZ453" i="3" s="1"/>
  <c r="G455" i="3"/>
  <c r="BL456" i="3"/>
  <c r="G457" i="3"/>
  <c r="BL462" i="3"/>
  <c r="BL471" i="3"/>
  <c r="G472" i="3"/>
  <c r="G474" i="3"/>
  <c r="BL475" i="3"/>
  <c r="AZ475" i="3" s="1"/>
  <c r="BL306" i="3"/>
  <c r="AZ306" i="3" s="1"/>
  <c r="G315" i="3"/>
  <c r="BA321" i="3"/>
  <c r="AZ321" i="3" s="1"/>
  <c r="G341" i="3"/>
  <c r="BL369" i="3"/>
  <c r="AZ369" i="3" s="1"/>
  <c r="BA209" i="3"/>
  <c r="BL212" i="3"/>
  <c r="G213" i="3"/>
  <c r="G216" i="3"/>
  <c r="BA220" i="3"/>
  <c r="BA221" i="3"/>
  <c r="AZ221" i="3" s="1"/>
  <c r="BL224" i="3"/>
  <c r="AZ224" i="3" s="1"/>
  <c r="BA234" i="3"/>
  <c r="BL238" i="3"/>
  <c r="AZ238" i="3" s="1"/>
  <c r="G240" i="3"/>
  <c r="BL240" i="3"/>
  <c r="BL243" i="3"/>
  <c r="G251" i="3"/>
  <c r="BA260" i="3"/>
  <c r="AZ260" i="3" s="1"/>
  <c r="BL262" i="3"/>
  <c r="G264" i="3"/>
  <c r="BA269" i="3"/>
  <c r="BL272" i="3"/>
  <c r="BL273" i="3"/>
  <c r="AZ273" i="3" s="1"/>
  <c r="G274" i="3"/>
  <c r="BA274" i="3"/>
  <c r="G285" i="3"/>
  <c r="BL296" i="3"/>
  <c r="G114" i="3"/>
  <c r="BA123" i="3"/>
  <c r="AZ123" i="3" s="1"/>
  <c r="BL129" i="3"/>
  <c r="BL136" i="3"/>
  <c r="AZ136" i="3" s="1"/>
  <c r="G137" i="3"/>
  <c r="G139" i="3"/>
  <c r="BL146" i="3"/>
  <c r="AZ146" i="3" s="1"/>
  <c r="G202" i="3"/>
  <c r="BA202" i="3"/>
  <c r="BA41" i="3"/>
  <c r="BL52" i="3"/>
  <c r="D76" i="59"/>
  <c r="C75" i="59"/>
  <c r="D75" i="59" s="1"/>
  <c r="BL39" i="3"/>
  <c r="BL42" i="3"/>
  <c r="BL45" i="3"/>
  <c r="BL48" i="3"/>
  <c r="BL51" i="3"/>
  <c r="BL75" i="3"/>
  <c r="BA86" i="3"/>
  <c r="AZ86" i="3" s="1"/>
  <c r="BA88" i="3"/>
  <c r="AZ88" i="3" s="1"/>
  <c r="BA96" i="3"/>
  <c r="BA101" i="3"/>
  <c r="BL104" i="3"/>
  <c r="AZ104" i="3" s="1"/>
  <c r="BL106" i="3"/>
  <c r="BL109" i="3"/>
  <c r="AA19" i="59"/>
  <c r="AA21" i="59"/>
  <c r="G141" i="3"/>
  <c r="BA147" i="3"/>
  <c r="AZ147" i="3" s="1"/>
  <c r="BL149" i="3"/>
  <c r="G150" i="3"/>
  <c r="BL150" i="3"/>
  <c r="AZ150" i="3" s="1"/>
  <c r="BL155" i="3"/>
  <c r="BA156" i="3"/>
  <c r="BA159" i="3"/>
  <c r="BL171" i="3"/>
  <c r="G172" i="3"/>
  <c r="G173" i="3"/>
  <c r="G185" i="3"/>
  <c r="BL192" i="3"/>
  <c r="AZ192" i="3" s="1"/>
  <c r="G197" i="3"/>
  <c r="BA25" i="3"/>
  <c r="BL28" i="3"/>
  <c r="G37" i="3"/>
  <c r="G38" i="3"/>
  <c r="BA59" i="3"/>
  <c r="BA61" i="3"/>
  <c r="AZ61" i="3" s="1"/>
  <c r="BA64" i="3"/>
  <c r="AZ64" i="3" s="1"/>
  <c r="BA67" i="3"/>
  <c r="BA70" i="3"/>
  <c r="G72" i="3"/>
  <c r="G73" i="3"/>
  <c r="BA83" i="3"/>
  <c r="BL85" i="3"/>
  <c r="BL86" i="3"/>
  <c r="BL90" i="3"/>
  <c r="BA94" i="3"/>
  <c r="BA95" i="3"/>
  <c r="BA98" i="3"/>
  <c r="AZ98" i="3" s="1"/>
  <c r="BL102" i="3"/>
  <c r="AZ102" i="3" s="1"/>
  <c r="G104" i="3"/>
  <c r="G105" i="3"/>
  <c r="F31" i="39"/>
  <c r="AA31" i="39" s="1"/>
  <c r="D61" i="59"/>
  <c r="T57" i="59"/>
  <c r="AB21" i="59"/>
  <c r="X25" i="59"/>
  <c r="E37" i="59"/>
  <c r="U37" i="59" s="1"/>
  <c r="AG10" i="46"/>
  <c r="BL97" i="3"/>
  <c r="BL98" i="3"/>
  <c r="BL99" i="3"/>
  <c r="AZ99" i="3" s="1"/>
  <c r="BL103" i="3"/>
  <c r="BL105" i="3"/>
  <c r="C72" i="59"/>
  <c r="Y14" i="59"/>
  <c r="Z14" i="59" s="1"/>
  <c r="Y23" i="59"/>
  <c r="Z23" i="59" s="1"/>
  <c r="Y25" i="59"/>
  <c r="Z25" i="59" s="1"/>
  <c r="AA26" i="59"/>
  <c r="E48" i="59"/>
  <c r="E49" i="59" s="1"/>
  <c r="U49" i="59" s="1"/>
  <c r="J51" i="15"/>
  <c r="BA198" i="3"/>
  <c r="BL23" i="3"/>
  <c r="G26" i="3"/>
  <c r="G32" i="3"/>
  <c r="BA56" i="3"/>
  <c r="BA57" i="3"/>
  <c r="BA58" i="3"/>
  <c r="G61" i="3"/>
  <c r="G64" i="3"/>
  <c r="G67" i="3"/>
  <c r="BL69" i="3"/>
  <c r="BA80" i="3"/>
  <c r="BA81" i="3"/>
  <c r="BL82" i="3"/>
  <c r="BL87" i="3"/>
  <c r="BA91" i="3"/>
  <c r="BA92" i="3"/>
  <c r="G96" i="3"/>
  <c r="BA97" i="3"/>
  <c r="G99" i="3"/>
  <c r="BL100" i="3"/>
  <c r="BL112" i="3"/>
  <c r="D47" i="59"/>
  <c r="AA23" i="59"/>
  <c r="AA24" i="59"/>
  <c r="F28" i="59"/>
  <c r="F29" i="59" s="1"/>
  <c r="V29" i="59" s="1"/>
  <c r="B40" i="59"/>
  <c r="B41" i="59" s="1"/>
  <c r="S41" i="59" s="1"/>
  <c r="C49" i="59"/>
  <c r="BA149" i="3"/>
  <c r="AZ149" i="3" s="1"/>
  <c r="BA154" i="3"/>
  <c r="AZ154" i="3" s="1"/>
  <c r="G157" i="3"/>
  <c r="BA167" i="3"/>
  <c r="AZ167" i="3" s="1"/>
  <c r="G168" i="3"/>
  <c r="BA175" i="3"/>
  <c r="AZ175" i="3" s="1"/>
  <c r="BL178" i="3"/>
  <c r="AZ178" i="3" s="1"/>
  <c r="G181" i="3"/>
  <c r="BA189" i="3"/>
  <c r="AZ189" i="3" s="1"/>
  <c r="BL21" i="3"/>
  <c r="BL24" i="3"/>
  <c r="BA54" i="3"/>
  <c r="AZ54" i="3" s="1"/>
  <c r="BL59" i="3"/>
  <c r="BL60" i="3"/>
  <c r="BL63" i="3"/>
  <c r="BL66" i="3"/>
  <c r="BA82" i="3"/>
  <c r="BL83" i="3"/>
  <c r="BA90" i="3"/>
  <c r="AZ90" i="3" s="1"/>
  <c r="BL92" i="3"/>
  <c r="BL94" i="3"/>
  <c r="C31" i="39"/>
  <c r="C60" i="59"/>
  <c r="AA20" i="59"/>
  <c r="AB23" i="59"/>
  <c r="AB26" i="59"/>
  <c r="C40" i="59"/>
  <c r="B52" i="59"/>
  <c r="B53" i="59" s="1"/>
  <c r="S53" i="59" s="1"/>
  <c r="BL277" i="3"/>
  <c r="G278" i="3"/>
  <c r="BL279" i="3"/>
  <c r="BA287" i="3"/>
  <c r="G293" i="3"/>
  <c r="BA293" i="3"/>
  <c r="G125" i="3"/>
  <c r="BL125" i="3"/>
  <c r="G126" i="3"/>
  <c r="BA132" i="3"/>
  <c r="AZ132" i="3" s="1"/>
  <c r="G135" i="3"/>
  <c r="BL144" i="3"/>
  <c r="BL145" i="3"/>
  <c r="G146" i="3"/>
  <c r="G147" i="3"/>
  <c r="BA151" i="3"/>
  <c r="AZ151" i="3" s="1"/>
  <c r="BA152" i="3"/>
  <c r="BL152" i="3"/>
  <c r="BL156" i="3"/>
  <c r="BA163" i="3"/>
  <c r="BL165" i="3"/>
  <c r="AZ165" i="3" s="1"/>
  <c r="G166" i="3"/>
  <c r="BA166" i="3"/>
  <c r="AZ166" i="3" s="1"/>
  <c r="G176" i="3"/>
  <c r="G177" i="3"/>
  <c r="G188" i="3"/>
  <c r="G189" i="3"/>
  <c r="BA203" i="3"/>
  <c r="G21" i="3"/>
  <c r="BL22" i="3"/>
  <c r="BA38" i="3"/>
  <c r="AZ38" i="3" s="1"/>
  <c r="BA39" i="3"/>
  <c r="BA42" i="3"/>
  <c r="BA45" i="3"/>
  <c r="AZ45" i="3" s="1"/>
  <c r="BA46" i="3"/>
  <c r="BA48" i="3"/>
  <c r="BA49" i="3"/>
  <c r="AZ49" i="3" s="1"/>
  <c r="BA51" i="3"/>
  <c r="BA52" i="3"/>
  <c r="BA55" i="3"/>
  <c r="G57" i="3"/>
  <c r="G58" i="3"/>
  <c r="BA74" i="3"/>
  <c r="BA75" i="3"/>
  <c r="BA76" i="3"/>
  <c r="AZ76" i="3" s="1"/>
  <c r="BA78" i="3"/>
  <c r="BL79" i="3"/>
  <c r="G81" i="3"/>
  <c r="G82" i="3"/>
  <c r="BL84" i="3"/>
  <c r="BA89" i="3"/>
  <c r="G92" i="3"/>
  <c r="G93" i="3"/>
  <c r="BL96" i="3"/>
  <c r="G1" i="74"/>
  <c r="C27" i="40"/>
  <c r="U57" i="59"/>
  <c r="C28" i="59"/>
  <c r="AB18" i="59"/>
  <c r="X27" i="59"/>
  <c r="E40" i="59"/>
  <c r="E41" i="59" s="1"/>
  <c r="U41" i="59" s="1"/>
  <c r="BA172" i="3"/>
  <c r="BL175" i="3"/>
  <c r="BA185" i="3"/>
  <c r="AZ185" i="3" s="1"/>
  <c r="G187" i="3"/>
  <c r="BL187" i="3"/>
  <c r="BL196" i="3"/>
  <c r="AZ196" i="3" s="1"/>
  <c r="BL204" i="3"/>
  <c r="BA40" i="3"/>
  <c r="AZ40" i="3" s="1"/>
  <c r="BA43" i="3"/>
  <c r="AZ43" i="3" s="1"/>
  <c r="BL46" i="3"/>
  <c r="BL47" i="3"/>
  <c r="G50" i="3"/>
  <c r="BL50" i="3"/>
  <c r="G53" i="3"/>
  <c r="BL53" i="3"/>
  <c r="G55" i="3"/>
  <c r="G56" i="3"/>
  <c r="BL56" i="3"/>
  <c r="BL57" i="3"/>
  <c r="G77" i="3"/>
  <c r="BL77" i="3"/>
  <c r="BL78" i="3"/>
  <c r="BA79" i="3"/>
  <c r="BL80" i="3"/>
  <c r="G91" i="3"/>
  <c r="BL91" i="3"/>
  <c r="BL93" i="3"/>
  <c r="BA107" i="3"/>
  <c r="AZ107" i="3" s="1"/>
  <c r="BA110" i="3"/>
  <c r="AZ110" i="3" s="1"/>
  <c r="E26" i="57"/>
  <c r="H31" i="39"/>
  <c r="S21" i="37"/>
  <c r="S57" i="59"/>
  <c r="T13" i="59"/>
  <c r="BO5" i="3"/>
  <c r="AC42" i="33"/>
  <c r="AB42" i="33"/>
  <c r="AA28" i="33"/>
  <c r="W36" i="33"/>
  <c r="U36" i="33"/>
  <c r="W33" i="33"/>
  <c r="S32" i="33"/>
  <c r="W32" i="33"/>
  <c r="U32" i="33"/>
  <c r="AC28" i="33"/>
  <c r="U28" i="33"/>
  <c r="W27" i="33"/>
  <c r="S26" i="33"/>
  <c r="AB26" i="33"/>
  <c r="W26" i="33"/>
  <c r="S9" i="33"/>
  <c r="S27" i="33"/>
  <c r="AA23" i="33"/>
  <c r="U23" i="33"/>
  <c r="AC23" i="33"/>
  <c r="W19" i="33"/>
  <c r="U19" i="33"/>
  <c r="AA19" i="33"/>
  <c r="AC17" i="33"/>
  <c r="AB17" i="33"/>
  <c r="S17" i="33"/>
  <c r="AA25" i="33"/>
  <c r="AC25" i="33"/>
  <c r="AB15" i="33"/>
  <c r="S15" i="33"/>
  <c r="AC11" i="33"/>
  <c r="AB10" i="33"/>
  <c r="W10" i="33"/>
  <c r="C18" i="9"/>
  <c r="G123" i="21"/>
  <c r="H123" i="21" s="1"/>
  <c r="I123" i="21" s="1"/>
  <c r="J123" i="21" s="1"/>
  <c r="K123" i="21" s="1"/>
  <c r="L123" i="21" s="1"/>
  <c r="M123" i="21" s="1"/>
  <c r="J42" i="21"/>
  <c r="AC42" i="21" s="1"/>
  <c r="H42" i="21"/>
  <c r="AB42" i="21" s="1"/>
  <c r="F42" i="21"/>
  <c r="AA42" i="21" s="1"/>
  <c r="U40" i="21"/>
  <c r="AC8" i="33"/>
  <c r="U8" i="33"/>
  <c r="S8" i="33"/>
  <c r="U36" i="39"/>
  <c r="W39" i="39"/>
  <c r="AC39" i="39"/>
  <c r="U38" i="39"/>
  <c r="H39" i="39"/>
  <c r="AB39" i="39" s="1"/>
  <c r="AC38" i="39"/>
  <c r="AA45" i="39"/>
  <c r="S45" i="39"/>
  <c r="W46" i="39"/>
  <c r="AC46" i="39"/>
  <c r="J45" i="39"/>
  <c r="U47" i="39"/>
  <c r="H45" i="39"/>
  <c r="AB46" i="39"/>
  <c r="S47" i="39"/>
  <c r="W16" i="39"/>
  <c r="F11" i="21"/>
  <c r="J11" i="21"/>
  <c r="H11" i="21"/>
  <c r="W39" i="21"/>
  <c r="AB34" i="21"/>
  <c r="U35" i="21"/>
  <c r="S34" i="21"/>
  <c r="S27" i="21"/>
  <c r="U27" i="21"/>
  <c r="AC27" i="21"/>
  <c r="AB17" i="21"/>
  <c r="U43" i="21"/>
  <c r="W43" i="21"/>
  <c r="AC40" i="21"/>
  <c r="U39" i="21"/>
  <c r="S39" i="21"/>
  <c r="AC38" i="21"/>
  <c r="U38" i="21"/>
  <c r="W35" i="21"/>
  <c r="S35" i="21"/>
  <c r="AB36" i="21"/>
  <c r="W36" i="21"/>
  <c r="AA36" i="21"/>
  <c r="AC34" i="21"/>
  <c r="S32" i="21"/>
  <c r="AB32" i="21"/>
  <c r="W32" i="21"/>
  <c r="AA25" i="21"/>
  <c r="S23" i="21"/>
  <c r="AB23" i="21"/>
  <c r="S21" i="21"/>
  <c r="U19" i="21"/>
  <c r="W19" i="21"/>
  <c r="W17" i="21"/>
  <c r="AB15" i="21"/>
  <c r="AC15" i="21"/>
  <c r="AA15" i="21"/>
  <c r="AB8" i="21"/>
  <c r="J10" i="21"/>
  <c r="AC10" i="21" s="1"/>
  <c r="H10" i="21"/>
  <c r="U10" i="21" s="1"/>
  <c r="F66" i="21"/>
  <c r="G66" i="21" s="1"/>
  <c r="H66" i="21" s="1"/>
  <c r="I66" i="21" s="1"/>
  <c r="F10" i="21"/>
  <c r="AA9" i="21"/>
  <c r="AB9" i="21"/>
  <c r="W9" i="21"/>
  <c r="G17" i="46"/>
  <c r="C16" i="46" s="1"/>
  <c r="E9" i="43"/>
  <c r="BA15" i="3"/>
  <c r="AZ15" i="3" s="1"/>
  <c r="BH5" i="3"/>
  <c r="AP10" i="1"/>
  <c r="G10" i="1"/>
  <c r="AP7" i="1"/>
  <c r="N16" i="4"/>
  <c r="AC5" i="3"/>
  <c r="BM5" i="3"/>
  <c r="F29" i="6" s="1"/>
  <c r="BD5" i="3"/>
  <c r="BS5" i="3"/>
  <c r="BN5" i="3"/>
  <c r="BE5" i="3"/>
  <c r="BA19" i="3"/>
  <c r="I4" i="6"/>
  <c r="K1" i="43"/>
  <c r="BA14" i="3"/>
  <c r="AZ14" i="3" s="1"/>
  <c r="K10" i="1"/>
  <c r="K9" i="12"/>
  <c r="J9" i="12"/>
  <c r="D9" i="43"/>
  <c r="K12" i="1"/>
  <c r="M12" i="1" s="1"/>
  <c r="O12" i="1" s="1"/>
  <c r="P12" i="1" s="1"/>
  <c r="K9" i="43"/>
  <c r="K7" i="1"/>
  <c r="M7" i="1" s="1"/>
  <c r="O7" i="1" s="1"/>
  <c r="D3" i="35"/>
  <c r="I9" i="12"/>
  <c r="F9" i="43"/>
  <c r="K6" i="1"/>
  <c r="M6" i="1" s="1"/>
  <c r="O6" i="1" s="1"/>
  <c r="H9" i="12"/>
  <c r="D3" i="33"/>
  <c r="G9" i="43"/>
  <c r="K9" i="1"/>
  <c r="M9" i="1" s="1"/>
  <c r="O9" i="1" s="1"/>
  <c r="P9" i="1" s="1"/>
  <c r="D3" i="34"/>
  <c r="H9" i="43"/>
  <c r="D3" i="21"/>
  <c r="D3" i="37"/>
  <c r="I9" i="43"/>
  <c r="K11" i="1"/>
  <c r="M11" i="1" s="1"/>
  <c r="O11" i="1" s="1"/>
  <c r="P11" i="1" s="1"/>
  <c r="D3" i="36"/>
  <c r="J9" i="43"/>
  <c r="G9" i="12"/>
  <c r="C9" i="43"/>
  <c r="K13" i="1"/>
  <c r="M13" i="1" s="1"/>
  <c r="O13" i="1" s="1"/>
  <c r="P13" i="1" s="1"/>
  <c r="W40" i="39"/>
  <c r="S40" i="39"/>
  <c r="J19" i="39"/>
  <c r="W19" i="39" s="1"/>
  <c r="H19" i="39"/>
  <c r="AB19" i="39" s="1"/>
  <c r="F19" i="39"/>
  <c r="S19" i="39" s="1"/>
  <c r="BK5" i="3"/>
  <c r="K8" i="1"/>
  <c r="M8" i="1" s="1"/>
  <c r="G1" i="15"/>
  <c r="G1" i="44"/>
  <c r="K1" i="12"/>
  <c r="F3" i="35"/>
  <c r="B8" i="1"/>
  <c r="E8" i="1" s="1"/>
  <c r="BA16" i="3"/>
  <c r="AZ16" i="3" s="1"/>
  <c r="K101" i="46"/>
  <c r="K103" i="46" s="1"/>
  <c r="J101" i="46"/>
  <c r="J107" i="46" s="1"/>
  <c r="S5" i="46"/>
  <c r="H101" i="46"/>
  <c r="H102" i="46" s="1"/>
  <c r="F101" i="46"/>
  <c r="F103" i="46" s="1"/>
  <c r="G22" i="46"/>
  <c r="G29" i="6"/>
  <c r="BC5" i="3"/>
  <c r="BB5" i="3"/>
  <c r="E5" i="6" s="1"/>
  <c r="D21" i="12" s="1"/>
  <c r="C21" i="12" s="1"/>
  <c r="E22" i="46"/>
  <c r="N104" i="45"/>
  <c r="D18" i="9"/>
  <c r="M44" i="9" s="1"/>
  <c r="M43" i="9"/>
  <c r="AC44" i="39"/>
  <c r="AB44" i="39"/>
  <c r="S42" i="39"/>
  <c r="AA44" i="39"/>
  <c r="W43" i="39"/>
  <c r="AB43" i="39"/>
  <c r="S43" i="39"/>
  <c r="AA41" i="39"/>
  <c r="U41" i="39"/>
  <c r="W41" i="39"/>
  <c r="U40" i="39"/>
  <c r="AA33" i="39"/>
  <c r="AB33" i="39"/>
  <c r="S29" i="39"/>
  <c r="AC31" i="39"/>
  <c r="W25" i="39"/>
  <c r="AB25" i="39"/>
  <c r="S25" i="39"/>
  <c r="U27" i="39"/>
  <c r="AC27" i="39"/>
  <c r="S27" i="39"/>
  <c r="AA23" i="39"/>
  <c r="S23" i="39"/>
  <c r="W23" i="39"/>
  <c r="E97" i="39"/>
  <c r="F97" i="39" s="1"/>
  <c r="G97" i="39" s="1"/>
  <c r="S17" i="39"/>
  <c r="AB17" i="39"/>
  <c r="AC17" i="39"/>
  <c r="G83" i="39"/>
  <c r="H83" i="39" s="1"/>
  <c r="I83" i="39" s="1"/>
  <c r="J83" i="39" s="1"/>
  <c r="K83" i="39" s="1"/>
  <c r="L83" i="39" s="1"/>
  <c r="M83" i="39" s="1"/>
  <c r="W11" i="39"/>
  <c r="E13" i="52"/>
  <c r="E6" i="52"/>
  <c r="B11" i="52"/>
  <c r="B74" i="46"/>
  <c r="B65" i="46"/>
  <c r="M22" i="44"/>
  <c r="F36" i="44"/>
  <c r="F34" i="15"/>
  <c r="F61" i="15" s="1"/>
  <c r="E21" i="52"/>
  <c r="G101" i="46"/>
  <c r="G103" i="46" s="1"/>
  <c r="N101" i="46"/>
  <c r="N109" i="46" s="1"/>
  <c r="S7" i="46"/>
  <c r="I101" i="46"/>
  <c r="I109" i="46" s="1"/>
  <c r="S2" i="46"/>
  <c r="AF11" i="46"/>
  <c r="AF13" i="46" s="1"/>
  <c r="BA13" i="3"/>
  <c r="E32" i="6"/>
  <c r="AA11" i="46"/>
  <c r="AA13" i="46" s="1"/>
  <c r="E101" i="46"/>
  <c r="E102" i="46" s="1"/>
  <c r="AJ11" i="46"/>
  <c r="AJ13" i="46" s="1"/>
  <c r="H22" i="46"/>
  <c r="AB11" i="46"/>
  <c r="AB13" i="46" s="1"/>
  <c r="AI11" i="46"/>
  <c r="AI13" i="46" s="1"/>
  <c r="Z7" i="46"/>
  <c r="C101" i="46"/>
  <c r="C105" i="46" s="1"/>
  <c r="Y11" i="46"/>
  <c r="Y13" i="46" s="1"/>
  <c r="S4" i="46"/>
  <c r="AH11" i="46"/>
  <c r="AH13" i="46" s="1"/>
  <c r="F22" i="46"/>
  <c r="AD11" i="46"/>
  <c r="AD13" i="46" s="1"/>
  <c r="S6" i="46"/>
  <c r="C23" i="46"/>
  <c r="C21" i="46" s="1"/>
  <c r="Z11" i="46"/>
  <c r="Z13" i="46" s="1"/>
  <c r="L101" i="46"/>
  <c r="L102" i="46" s="1"/>
  <c r="AC11" i="46"/>
  <c r="AC13" i="46" s="1"/>
  <c r="D101" i="46"/>
  <c r="D104" i="46" s="1"/>
  <c r="S3" i="46"/>
  <c r="AE11" i="46"/>
  <c r="AE13" i="46" s="1"/>
  <c r="AG11" i="46"/>
  <c r="AG13" i="46" s="1"/>
  <c r="B113" i="46"/>
  <c r="D118" i="46" s="1"/>
  <c r="E118" i="46" s="1"/>
  <c r="F118" i="46" s="1"/>
  <c r="M101" i="46"/>
  <c r="M106" i="46" s="1"/>
  <c r="BL13" i="3"/>
  <c r="BJ5" i="3"/>
  <c r="BQ5" i="3"/>
  <c r="F28" i="6" s="1"/>
  <c r="L16" i="4"/>
  <c r="K17" i="4" s="1"/>
  <c r="A22" i="51" s="1"/>
  <c r="B16" i="63" s="1"/>
  <c r="G11" i="1"/>
  <c r="G8" i="1"/>
  <c r="J57" i="39"/>
  <c r="B8" i="52"/>
  <c r="E11" i="52"/>
  <c r="E4" i="52"/>
  <c r="K40" i="9"/>
  <c r="I14" i="66"/>
  <c r="B8" i="66" s="1"/>
  <c r="O41" i="9"/>
  <c r="R8" i="54" s="1"/>
  <c r="B54" i="63" s="1"/>
  <c r="G70" i="39"/>
  <c r="F72" i="39"/>
  <c r="E65" i="40"/>
  <c r="H1" i="65"/>
  <c r="AP11" i="1"/>
  <c r="G6" i="1"/>
  <c r="A25" i="51"/>
  <c r="B18" i="63" s="1"/>
  <c r="W34" i="39"/>
  <c r="U34" i="39"/>
  <c r="S34" i="39"/>
  <c r="W14" i="39"/>
  <c r="AA14" i="39"/>
  <c r="S11" i="39"/>
  <c r="E10" i="52"/>
  <c r="E9" i="52"/>
  <c r="E7" i="52"/>
  <c r="B13" i="52"/>
  <c r="B4" i="52"/>
  <c r="B6" i="52"/>
  <c r="B9" i="52"/>
  <c r="B10" i="52"/>
  <c r="E14" i="52"/>
  <c r="E8" i="52"/>
  <c r="B22" i="52"/>
  <c r="B14" i="52"/>
  <c r="E22" i="52"/>
  <c r="C4" i="65"/>
  <c r="B39" i="1" s="1"/>
  <c r="E46" i="36"/>
  <c r="F46" i="36" s="1"/>
  <c r="G46" i="36" s="1"/>
  <c r="H46" i="36" s="1"/>
  <c r="I46" i="36" s="1"/>
  <c r="J46" i="36" s="1"/>
  <c r="K46" i="36" s="1"/>
  <c r="L46" i="36" s="1"/>
  <c r="M46" i="36" s="1"/>
  <c r="N46" i="36" s="1"/>
  <c r="O46" i="36" s="1"/>
  <c r="J7" i="36"/>
  <c r="F7" i="36"/>
  <c r="H59" i="34"/>
  <c r="I59" i="34" s="1"/>
  <c r="J59" i="34" s="1"/>
  <c r="K59" i="34" s="1"/>
  <c r="L59" i="34" s="1"/>
  <c r="M59" i="34" s="1"/>
  <c r="N59" i="34" s="1"/>
  <c r="O59" i="34" s="1"/>
  <c r="H7" i="34"/>
  <c r="I52" i="37"/>
  <c r="D5" i="46"/>
  <c r="C5" i="46"/>
  <c r="U34" i="40"/>
  <c r="AB34" i="40"/>
  <c r="W15" i="39"/>
  <c r="AC15" i="39"/>
  <c r="W41" i="40"/>
  <c r="AC41" i="40"/>
  <c r="AB14" i="39"/>
  <c r="U14" i="39"/>
  <c r="F34" i="40"/>
  <c r="J34" i="40"/>
  <c r="B20" i="31"/>
  <c r="R22" i="31"/>
  <c r="B21" i="31" s="1"/>
  <c r="AA19" i="37"/>
  <c r="S19" i="37"/>
  <c r="AB27" i="34"/>
  <c r="U27" i="34"/>
  <c r="W32" i="34"/>
  <c r="AC32" i="34"/>
  <c r="AB14" i="34"/>
  <c r="U14" i="34"/>
  <c r="E48" i="35"/>
  <c r="S36" i="37"/>
  <c r="AA36" i="37"/>
  <c r="E58" i="21"/>
  <c r="H7" i="36"/>
  <c r="AB11" i="33"/>
  <c r="U11" i="33"/>
  <c r="AC29" i="39"/>
  <c r="W29" i="39"/>
  <c r="AB25" i="33"/>
  <c r="U25" i="33"/>
  <c r="W27" i="40"/>
  <c r="A17" i="64"/>
  <c r="A17" i="51"/>
  <c r="B13" i="63" s="1"/>
  <c r="K31" i="9"/>
  <c r="K32" i="9" s="1"/>
  <c r="R7" i="54"/>
  <c r="B52" i="63" s="1"/>
  <c r="U29" i="39"/>
  <c r="AB29" i="39"/>
  <c r="AA17" i="40"/>
  <c r="S17" i="40"/>
  <c r="W13" i="35"/>
  <c r="W13" i="40"/>
  <c r="AC13" i="40"/>
  <c r="S40" i="21"/>
  <c r="AA40" i="21"/>
  <c r="S25" i="40"/>
  <c r="S35" i="35"/>
  <c r="AA35" i="35"/>
  <c r="AB46" i="21"/>
  <c r="U46" i="21"/>
  <c r="E58" i="33"/>
  <c r="H14" i="66"/>
  <c r="B7" i="66" s="1"/>
  <c r="U15" i="34"/>
  <c r="AA39" i="39"/>
  <c r="AA23" i="35"/>
  <c r="S23" i="35"/>
  <c r="W23" i="21"/>
  <c r="S11" i="36"/>
  <c r="AA11" i="36"/>
  <c r="U14" i="35"/>
  <c r="AB14" i="35"/>
  <c r="W13" i="33"/>
  <c r="AC13" i="33"/>
  <c r="AC15" i="33"/>
  <c r="W15" i="33"/>
  <c r="S38" i="37"/>
  <c r="AA38" i="37"/>
  <c r="AA30" i="37"/>
  <c r="S30" i="37"/>
  <c r="AB17" i="40"/>
  <c r="U34" i="33"/>
  <c r="AB34" i="33"/>
  <c r="S17" i="21"/>
  <c r="AA17" i="21"/>
  <c r="W27" i="35"/>
  <c r="AC27" i="35"/>
  <c r="AZ559" i="3"/>
  <c r="AZ557" i="3"/>
  <c r="AZ556" i="3"/>
  <c r="AZ554" i="3"/>
  <c r="AZ545" i="3"/>
  <c r="BL486" i="3"/>
  <c r="AZ486" i="3" s="1"/>
  <c r="AC33" i="39"/>
  <c r="W33" i="39"/>
  <c r="AA19" i="39"/>
  <c r="AB42" i="40"/>
  <c r="AC33" i="40"/>
  <c r="W33" i="40"/>
  <c r="AC20" i="35"/>
  <c r="W20" i="35"/>
  <c r="S28" i="21"/>
  <c r="AA28" i="21"/>
  <c r="H5" i="3"/>
  <c r="G13" i="3"/>
  <c r="BA571" i="3"/>
  <c r="AZ571" i="3" s="1"/>
  <c r="AA37" i="39"/>
  <c r="AB23" i="40"/>
  <c r="U39" i="39"/>
  <c r="AC14" i="40"/>
  <c r="W25" i="35"/>
  <c r="AC13" i="36"/>
  <c r="AC35" i="35"/>
  <c r="U40" i="37"/>
  <c r="AB40" i="37"/>
  <c r="U28" i="36"/>
  <c r="AA45" i="21"/>
  <c r="S45" i="21"/>
  <c r="AB28" i="21"/>
  <c r="U28" i="21"/>
  <c r="AC11" i="36"/>
  <c r="AZ324" i="3"/>
  <c r="S46" i="21"/>
  <c r="AA22" i="35"/>
  <c r="S22" i="35"/>
  <c r="BA570" i="3"/>
  <c r="AZ570" i="3" s="1"/>
  <c r="AA35" i="37"/>
  <c r="AC23" i="37"/>
  <c r="S46" i="33"/>
  <c r="BL572" i="3"/>
  <c r="AZ572" i="3" s="1"/>
  <c r="AZ340" i="3"/>
  <c r="AA25" i="35"/>
  <c r="S25" i="35"/>
  <c r="AC31" i="34"/>
  <c r="W31" i="34"/>
  <c r="S39" i="37"/>
  <c r="AA39" i="37"/>
  <c r="BI5" i="3"/>
  <c r="AC24" i="35"/>
  <c r="AB34" i="37"/>
  <c r="U34" i="37"/>
  <c r="BL540" i="3"/>
  <c r="AZ540" i="3" s="1"/>
  <c r="AZ562" i="3"/>
  <c r="AA38" i="21"/>
  <c r="S38" i="21"/>
  <c r="S28" i="34"/>
  <c r="AA28" i="34"/>
  <c r="W8" i="37"/>
  <c r="AC8" i="37"/>
  <c r="BA555" i="3"/>
  <c r="AZ555" i="3" s="1"/>
  <c r="BA551" i="3"/>
  <c r="AZ551" i="3" s="1"/>
  <c r="BL550" i="3"/>
  <c r="AZ550" i="3" s="1"/>
  <c r="AZ546" i="3"/>
  <c r="BA498" i="3"/>
  <c r="AZ498" i="3" s="1"/>
  <c r="BG5" i="3"/>
  <c r="BT5" i="3"/>
  <c r="G28" i="6" s="1"/>
  <c r="BA20" i="3"/>
  <c r="AZ20" i="3" s="1"/>
  <c r="AZ356" i="3"/>
  <c r="U31" i="37"/>
  <c r="S10" i="35"/>
  <c r="AA10" i="35"/>
  <c r="BL558" i="3"/>
  <c r="AZ558" i="3" s="1"/>
  <c r="AZ492" i="3"/>
  <c r="AA8" i="21"/>
  <c r="S8" i="21"/>
  <c r="AC39" i="34"/>
  <c r="W39" i="34"/>
  <c r="AB26" i="36"/>
  <c r="U26" i="36"/>
  <c r="S41" i="21"/>
  <c r="AA41" i="21"/>
  <c r="BA566" i="3"/>
  <c r="AZ566" i="3" s="1"/>
  <c r="BL510" i="3"/>
  <c r="AZ510" i="3" s="1"/>
  <c r="BA509" i="3"/>
  <c r="AZ509" i="3" s="1"/>
  <c r="BL508" i="3"/>
  <c r="AZ508" i="3" s="1"/>
  <c r="G505" i="3"/>
  <c r="AZ358" i="3"/>
  <c r="W41" i="34"/>
  <c r="AC41" i="34"/>
  <c r="AA42" i="33"/>
  <c r="S42" i="33"/>
  <c r="BL560" i="3"/>
  <c r="AZ560" i="3" s="1"/>
  <c r="BF5" i="3"/>
  <c r="AA10" i="21"/>
  <c r="S10" i="21"/>
  <c r="J30" i="21"/>
  <c r="H30" i="21"/>
  <c r="F30" i="21"/>
  <c r="J9" i="33"/>
  <c r="H9" i="33"/>
  <c r="H34" i="36"/>
  <c r="J34" i="36"/>
  <c r="F34" i="36"/>
  <c r="S24" i="36"/>
  <c r="J28" i="34"/>
  <c r="G19" i="3"/>
  <c r="G487" i="3"/>
  <c r="G569" i="3"/>
  <c r="G552" i="3"/>
  <c r="AZ392" i="3"/>
  <c r="AZ393" i="3"/>
  <c r="H23" i="36"/>
  <c r="J23" i="36"/>
  <c r="C92" i="9"/>
  <c r="BA391" i="3"/>
  <c r="AZ391" i="3" s="1"/>
  <c r="BA400" i="3"/>
  <c r="AZ400" i="3" s="1"/>
  <c r="BL408" i="3"/>
  <c r="AZ408" i="3" s="1"/>
  <c r="G409" i="3"/>
  <c r="BA421" i="3"/>
  <c r="AZ421" i="3" s="1"/>
  <c r="BA424" i="3"/>
  <c r="AZ424" i="3" s="1"/>
  <c r="AZ468" i="3"/>
  <c r="BA406" i="3"/>
  <c r="AZ406" i="3" s="1"/>
  <c r="BA412" i="3"/>
  <c r="AZ412" i="3" s="1"/>
  <c r="BL413" i="3"/>
  <c r="AZ413" i="3" s="1"/>
  <c r="BL417" i="3"/>
  <c r="AZ417" i="3" s="1"/>
  <c r="G419" i="3"/>
  <c r="BA427" i="3"/>
  <c r="AZ427" i="3" s="1"/>
  <c r="AZ429" i="3"/>
  <c r="AZ451" i="3"/>
  <c r="AZ480" i="3"/>
  <c r="AZ210" i="3"/>
  <c r="BL399" i="3"/>
  <c r="AZ399" i="3" s="1"/>
  <c r="BA426" i="3"/>
  <c r="A30" i="64"/>
  <c r="A30" i="51"/>
  <c r="B22" i="63" s="1"/>
  <c r="AZ416" i="3"/>
  <c r="BL420" i="3"/>
  <c r="AZ420" i="3" s="1"/>
  <c r="BL423" i="3"/>
  <c r="AZ423" i="3" s="1"/>
  <c r="G424" i="3"/>
  <c r="G425" i="3"/>
  <c r="AZ465" i="3"/>
  <c r="A11" i="55"/>
  <c r="B62" i="63" s="1"/>
  <c r="AZ397" i="3"/>
  <c r="BL405" i="3"/>
  <c r="AZ405" i="3" s="1"/>
  <c r="G406" i="3"/>
  <c r="BL426" i="3"/>
  <c r="G427" i="3"/>
  <c r="AZ334" i="3"/>
  <c r="BA403" i="3"/>
  <c r="AZ403" i="3" s="1"/>
  <c r="BA409" i="3"/>
  <c r="AZ409" i="3" s="1"/>
  <c r="AZ440" i="3"/>
  <c r="AZ206" i="3"/>
  <c r="BA394" i="3"/>
  <c r="AZ394" i="3" s="1"/>
  <c r="BL414" i="3"/>
  <c r="AZ414" i="3" s="1"/>
  <c r="BA418" i="3"/>
  <c r="AZ418" i="3" s="1"/>
  <c r="AZ443" i="3"/>
  <c r="BL402" i="3"/>
  <c r="AZ402" i="3" s="1"/>
  <c r="AZ432" i="3"/>
  <c r="AZ476" i="3"/>
  <c r="BL218" i="3"/>
  <c r="AZ218" i="3" s="1"/>
  <c r="BA232" i="3"/>
  <c r="AZ232" i="3" s="1"/>
  <c r="BA237" i="3"/>
  <c r="AZ237" i="3" s="1"/>
  <c r="G246" i="3"/>
  <c r="BA249" i="3"/>
  <c r="BL249" i="3"/>
  <c r="BL250" i="3"/>
  <c r="BA261" i="3"/>
  <c r="BA262" i="3"/>
  <c r="AZ262" i="3" s="1"/>
  <c r="BL265" i="3"/>
  <c r="AZ265" i="3" s="1"/>
  <c r="AZ272" i="3"/>
  <c r="AZ277" i="3"/>
  <c r="AZ285" i="3"/>
  <c r="AZ117" i="3"/>
  <c r="BA216" i="3"/>
  <c r="AZ216" i="3" s="1"/>
  <c r="BL231" i="3"/>
  <c r="AZ231" i="3" s="1"/>
  <c r="BL244" i="3"/>
  <c r="AZ244" i="3" s="1"/>
  <c r="BL247" i="3"/>
  <c r="AZ247" i="3" s="1"/>
  <c r="G249" i="3"/>
  <c r="BL251" i="3"/>
  <c r="AZ251" i="3" s="1"/>
  <c r="BA259" i="3"/>
  <c r="AZ259" i="3" s="1"/>
  <c r="BL263" i="3"/>
  <c r="AZ263" i="3" s="1"/>
  <c r="AZ271" i="3"/>
  <c r="AZ283" i="3"/>
  <c r="AZ116" i="3"/>
  <c r="BL215" i="3"/>
  <c r="AZ215" i="3" s="1"/>
  <c r="BA229" i="3"/>
  <c r="AZ229" i="3" s="1"/>
  <c r="BL248" i="3"/>
  <c r="BA258" i="3"/>
  <c r="BL264" i="3"/>
  <c r="AZ269" i="3"/>
  <c r="AZ128" i="3"/>
  <c r="AZ129" i="3"/>
  <c r="AZ182" i="3"/>
  <c r="G228" i="3"/>
  <c r="G238" i="3"/>
  <c r="BA239" i="3"/>
  <c r="AZ239" i="3" s="1"/>
  <c r="BA256" i="3"/>
  <c r="AZ256" i="3" s="1"/>
  <c r="BL261" i="3"/>
  <c r="AZ156" i="3"/>
  <c r="BA240" i="3"/>
  <c r="AZ240" i="3" s="1"/>
  <c r="BA253" i="3"/>
  <c r="AZ253" i="3" s="1"/>
  <c r="AZ254" i="3"/>
  <c r="BL258" i="3"/>
  <c r="G259" i="3"/>
  <c r="AZ267" i="3"/>
  <c r="AZ125" i="3"/>
  <c r="G225" i="3"/>
  <c r="BL239" i="3"/>
  <c r="G222" i="3"/>
  <c r="BA235" i="3"/>
  <c r="AZ235" i="3" s="1"/>
  <c r="BA243" i="3"/>
  <c r="AZ243" i="3" s="1"/>
  <c r="BA246" i="3"/>
  <c r="AZ246" i="3" s="1"/>
  <c r="BA250" i="3"/>
  <c r="G256" i="3"/>
  <c r="BL242" i="3"/>
  <c r="AZ242" i="3" s="1"/>
  <c r="BA248" i="3"/>
  <c r="BA264" i="3"/>
  <c r="AZ293" i="3"/>
  <c r="BA160" i="3"/>
  <c r="AZ160" i="3" s="1"/>
  <c r="BL172" i="3"/>
  <c r="AZ172" i="3" s="1"/>
  <c r="BL184" i="3"/>
  <c r="AZ184" i="3" s="1"/>
  <c r="BA190" i="3"/>
  <c r="AZ190" i="3" s="1"/>
  <c r="BL199" i="3"/>
  <c r="BL203" i="3"/>
  <c r="AZ203" i="3" s="1"/>
  <c r="BA23" i="3"/>
  <c r="AZ23" i="3" s="1"/>
  <c r="AZ50" i="3"/>
  <c r="AZ53" i="3"/>
  <c r="AZ57" i="3"/>
  <c r="AZ77" i="3"/>
  <c r="AZ80" i="3"/>
  <c r="BA93" i="3"/>
  <c r="AZ93" i="3" s="1"/>
  <c r="AZ95" i="3"/>
  <c r="BL101" i="3"/>
  <c r="AZ101" i="3" s="1"/>
  <c r="BL111" i="3"/>
  <c r="AZ111" i="3" s="1"/>
  <c r="E12" i="59"/>
  <c r="E11" i="59" s="1"/>
  <c r="E10" i="59" s="1"/>
  <c r="E9" i="59" s="1"/>
  <c r="U13" i="59"/>
  <c r="BL159" i="3"/>
  <c r="AZ159" i="3" s="1"/>
  <c r="G174" i="3"/>
  <c r="G184" i="3"/>
  <c r="BA191" i="3"/>
  <c r="AZ191" i="3" s="1"/>
  <c r="BA195" i="3"/>
  <c r="AZ195" i="3" s="1"/>
  <c r="BA22" i="3"/>
  <c r="AZ22" i="3" s="1"/>
  <c r="BA24" i="3"/>
  <c r="AZ24" i="3" s="1"/>
  <c r="BA26" i="3"/>
  <c r="AZ26" i="3" s="1"/>
  <c r="AZ41" i="3"/>
  <c r="AZ44" i="3"/>
  <c r="BL81" i="3"/>
  <c r="AZ81" i="3" s="1"/>
  <c r="AZ92" i="3"/>
  <c r="P75" i="15"/>
  <c r="P62" i="15"/>
  <c r="BL188" i="3"/>
  <c r="AZ188" i="3" s="1"/>
  <c r="BA194" i="3"/>
  <c r="BA27" i="3"/>
  <c r="BA29" i="3"/>
  <c r="AZ29" i="3" s="1"/>
  <c r="AZ46" i="3"/>
  <c r="AB6" i="59"/>
  <c r="AB3" i="59"/>
  <c r="BL153" i="3"/>
  <c r="AZ153" i="3" s="1"/>
  <c r="BA171" i="3"/>
  <c r="AZ171" i="3" s="1"/>
  <c r="E19" i="59"/>
  <c r="E20" i="59" s="1"/>
  <c r="E21" i="59" s="1"/>
  <c r="U21" i="59" s="1"/>
  <c r="AA18" i="59"/>
  <c r="AA17" i="59"/>
  <c r="Y20" i="59"/>
  <c r="Z20" i="59" s="1"/>
  <c r="Y19" i="59"/>
  <c r="Z19" i="59" s="1"/>
  <c r="AA14" i="59"/>
  <c r="AA15" i="59"/>
  <c r="AA16" i="59"/>
  <c r="BA164" i="3"/>
  <c r="AZ164" i="3" s="1"/>
  <c r="BL169" i="3"/>
  <c r="AZ169" i="3" s="1"/>
  <c r="AZ62" i="3"/>
  <c r="AZ65" i="3"/>
  <c r="BA87" i="3"/>
  <c r="AZ87" i="3" s="1"/>
  <c r="C41" i="59"/>
  <c r="D40" i="59"/>
  <c r="X17" i="59"/>
  <c r="B17" i="59"/>
  <c r="X14" i="59"/>
  <c r="X15" i="59"/>
  <c r="X16" i="59"/>
  <c r="AA7" i="59"/>
  <c r="G169" i="3"/>
  <c r="G178" i="3"/>
  <c r="BL194" i="3"/>
  <c r="BA199" i="3"/>
  <c r="AZ199" i="3" s="1"/>
  <c r="BA201" i="3"/>
  <c r="AZ201" i="3" s="1"/>
  <c r="BL27" i="3"/>
  <c r="BA31" i="3"/>
  <c r="BL34" i="3"/>
  <c r="AZ34" i="3" s="1"/>
  <c r="BL35" i="3"/>
  <c r="AZ35" i="3" s="1"/>
  <c r="BA69" i="3"/>
  <c r="AZ69" i="3" s="1"/>
  <c r="BL74" i="3"/>
  <c r="AZ74" i="3" s="1"/>
  <c r="BA84" i="3"/>
  <c r="AZ84" i="3" s="1"/>
  <c r="BA105" i="3"/>
  <c r="AZ105" i="3" s="1"/>
  <c r="BA106" i="3"/>
  <c r="AZ106" i="3" s="1"/>
  <c r="BA109" i="3"/>
  <c r="AZ109" i="3" s="1"/>
  <c r="I21" i="57"/>
  <c r="D1" i="57" s="1"/>
  <c r="E10" i="57" s="1"/>
  <c r="BA174" i="3"/>
  <c r="AZ174" i="3" s="1"/>
  <c r="BA183" i="3"/>
  <c r="AZ183" i="3" s="1"/>
  <c r="BL200" i="3"/>
  <c r="AZ200" i="3" s="1"/>
  <c r="BA204" i="3"/>
  <c r="AZ204" i="3" s="1"/>
  <c r="BL30" i="3"/>
  <c r="AZ30" i="3" s="1"/>
  <c r="BL31" i="3"/>
  <c r="BL32" i="3"/>
  <c r="AZ32" i="3" s="1"/>
  <c r="BA60" i="3"/>
  <c r="AZ60" i="3" s="1"/>
  <c r="BA63" i="3"/>
  <c r="AZ63" i="3" s="1"/>
  <c r="BA66" i="3"/>
  <c r="AZ66" i="3" s="1"/>
  <c r="AZ83" i="3"/>
  <c r="BL89" i="3"/>
  <c r="AZ89" i="3" s="1"/>
  <c r="BA103" i="3"/>
  <c r="AZ103" i="3" s="1"/>
  <c r="C32" i="59"/>
  <c r="D31" i="59"/>
  <c r="C44" i="59"/>
  <c r="D43" i="59"/>
  <c r="X12" i="59"/>
  <c r="X5" i="59"/>
  <c r="G164" i="3"/>
  <c r="BA186" i="3"/>
  <c r="AZ186" i="3" s="1"/>
  <c r="G200" i="3"/>
  <c r="BL202" i="3"/>
  <c r="AZ202" i="3" s="1"/>
  <c r="BL33" i="3"/>
  <c r="AZ33" i="3" s="1"/>
  <c r="BL62" i="3"/>
  <c r="BL65" i="3"/>
  <c r="BL68" i="3"/>
  <c r="AZ68" i="3" s="1"/>
  <c r="BL71" i="3"/>
  <c r="AZ71" i="3" s="1"/>
  <c r="AZ85" i="3"/>
  <c r="BA100" i="3"/>
  <c r="AZ100" i="3" s="1"/>
  <c r="BL108" i="3"/>
  <c r="AZ108" i="3" s="1"/>
  <c r="Y3" i="59"/>
  <c r="Z3" i="59" s="1"/>
  <c r="D22" i="15"/>
  <c r="D23" i="15"/>
  <c r="N56" i="59"/>
  <c r="B55" i="59"/>
  <c r="B64" i="59"/>
  <c r="B63" i="59" s="1"/>
  <c r="D16" i="59"/>
  <c r="C15" i="59"/>
  <c r="D15" i="59" s="1"/>
  <c r="AB20" i="59"/>
  <c r="T17" i="59"/>
  <c r="Y15" i="59"/>
  <c r="Z15" i="59" s="1"/>
  <c r="Y16" i="59"/>
  <c r="Z16" i="59" s="1"/>
  <c r="AB12" i="59"/>
  <c r="F13" i="59"/>
  <c r="AB13" i="59"/>
  <c r="AB5" i="59"/>
  <c r="BA112" i="3"/>
  <c r="AZ112" i="3" s="1"/>
  <c r="P27" i="6"/>
  <c r="C24" i="59"/>
  <c r="C36" i="59"/>
  <c r="D36" i="59" s="1"/>
  <c r="D35" i="59"/>
  <c r="F40" i="59"/>
  <c r="F41" i="59" s="1"/>
  <c r="V41" i="59" s="1"/>
  <c r="V61" i="59"/>
  <c r="AB25" i="59"/>
  <c r="Y7" i="59"/>
  <c r="Z7" i="59" s="1"/>
  <c r="X7" i="59"/>
  <c r="X19" i="59"/>
  <c r="Y22" i="59"/>
  <c r="Z22" i="59" s="1"/>
  <c r="AA25" i="59"/>
  <c r="Y13" i="59"/>
  <c r="Z13" i="59" s="1"/>
  <c r="AA10" i="59"/>
  <c r="L108" i="46"/>
  <c r="T53" i="59"/>
  <c r="D53" i="59"/>
  <c r="V57" i="59"/>
  <c r="Q57" i="59"/>
  <c r="Y6" i="59"/>
  <c r="Z6" i="59" s="1"/>
  <c r="AA21" i="34"/>
  <c r="S21" i="34"/>
  <c r="C55" i="59"/>
  <c r="O56" i="59"/>
  <c r="D56" i="59"/>
  <c r="D39" i="59"/>
  <c r="X26" i="59"/>
  <c r="B27" i="59"/>
  <c r="B28" i="59" s="1"/>
  <c r="B29" i="59" s="1"/>
  <c r="S29" i="59" s="1"/>
  <c r="X23" i="59"/>
  <c r="U69" i="59"/>
  <c r="X24" i="59"/>
  <c r="AB7" i="59"/>
  <c r="Y5" i="59"/>
  <c r="Z5" i="59" s="1"/>
  <c r="X18" i="59"/>
  <c r="AA22" i="59"/>
  <c r="F16" i="59"/>
  <c r="F15" i="59" s="1"/>
  <c r="X13" i="59"/>
  <c r="B13" i="59"/>
  <c r="Y12" i="59"/>
  <c r="Z12" i="59" s="1"/>
  <c r="X10" i="59"/>
  <c r="AA6" i="59"/>
  <c r="S18" i="36"/>
  <c r="D64" i="59"/>
  <c r="C63" i="59"/>
  <c r="D63" i="59" s="1"/>
  <c r="C29" i="59"/>
  <c r="D28" i="59"/>
  <c r="C19" i="59"/>
  <c r="Y18" i="59"/>
  <c r="Z18" i="59" s="1"/>
  <c r="Y17" i="59"/>
  <c r="Z17" i="59" s="1"/>
  <c r="F55" i="59"/>
  <c r="Q56" i="59"/>
  <c r="AA12" i="59"/>
  <c r="X3" i="59"/>
  <c r="AA3" i="59"/>
  <c r="AA5" i="59"/>
  <c r="X6" i="59"/>
  <c r="S31" i="39"/>
  <c r="D51" i="59"/>
  <c r="F64" i="59"/>
  <c r="F63" i="59" s="1"/>
  <c r="K76" i="9"/>
  <c r="K77" i="9" s="1"/>
  <c r="K79" i="9" s="1"/>
  <c r="K81" i="9" s="1"/>
  <c r="A28" i="51"/>
  <c r="S27" i="40"/>
  <c r="AA18" i="35"/>
  <c r="AB16" i="59"/>
  <c r="X22" i="59"/>
  <c r="L76" i="9"/>
  <c r="AB15" i="59"/>
  <c r="AB14" i="59"/>
  <c r="B19" i="59"/>
  <c r="B20" i="59" s="1"/>
  <c r="B21" i="59" s="1"/>
  <c r="S21" i="59" s="1"/>
  <c r="F23" i="59"/>
  <c r="F24" i="59" s="1"/>
  <c r="F25" i="59" s="1"/>
  <c r="V25" i="59" s="1"/>
  <c r="E56" i="59"/>
  <c r="AB19" i="59"/>
  <c r="AB17" i="59"/>
  <c r="F58" i="15"/>
  <c r="M17" i="15"/>
  <c r="M19" i="44"/>
  <c r="L48" i="44"/>
  <c r="F43" i="74"/>
  <c r="M27" i="15"/>
  <c r="M28" i="15"/>
  <c r="M31" i="44"/>
  <c r="M10" i="44"/>
  <c r="F42" i="15"/>
  <c r="F26" i="15"/>
  <c r="J3" i="65"/>
  <c r="M25" i="44"/>
  <c r="F11" i="44"/>
  <c r="J36" i="15"/>
  <c r="M8" i="15"/>
  <c r="M6" i="15"/>
  <c r="F9" i="15"/>
  <c r="F45" i="44"/>
  <c r="F38" i="15"/>
  <c r="M29" i="74"/>
  <c r="F9" i="44"/>
  <c r="F40" i="44"/>
  <c r="M11" i="44"/>
  <c r="M26" i="15"/>
  <c r="F6" i="15"/>
  <c r="F43" i="44"/>
  <c r="J6" i="65"/>
  <c r="F8" i="44"/>
  <c r="F28" i="44"/>
  <c r="M29" i="44"/>
  <c r="F18" i="44"/>
  <c r="L47" i="15"/>
  <c r="I6" i="65"/>
  <c r="J5" i="65"/>
  <c r="F8" i="15"/>
  <c r="J4" i="65"/>
  <c r="F36" i="15"/>
  <c r="L49" i="44"/>
  <c r="M30" i="44"/>
  <c r="I5" i="65"/>
  <c r="F40" i="15"/>
  <c r="F16" i="15"/>
  <c r="M9" i="15"/>
  <c r="J17" i="44"/>
  <c r="F38" i="44"/>
  <c r="F43" i="15"/>
  <c r="M26" i="44"/>
  <c r="I4" i="65"/>
  <c r="M24" i="44"/>
  <c r="M24" i="15"/>
  <c r="J7" i="65"/>
  <c r="M8" i="44"/>
  <c r="F15" i="44"/>
  <c r="I3" i="65"/>
  <c r="F37" i="15"/>
  <c r="F10" i="44"/>
  <c r="I7" i="65"/>
  <c r="M23" i="15"/>
  <c r="F7" i="15"/>
  <c r="J15" i="15"/>
  <c r="F39" i="44"/>
  <c r="F7" i="74"/>
  <c r="F13" i="15"/>
  <c r="M28" i="44"/>
  <c r="L48" i="15"/>
  <c r="M22" i="15"/>
  <c r="M29" i="15"/>
  <c r="AZ211" i="3" l="1"/>
  <c r="AZ470" i="3"/>
  <c r="AB9" i="37"/>
  <c r="U9" i="37"/>
  <c r="AA34" i="35"/>
  <c r="S34" i="35"/>
  <c r="U30" i="33"/>
  <c r="AB30" i="33"/>
  <c r="AZ91" i="3"/>
  <c r="AZ67" i="3"/>
  <c r="AZ502" i="3"/>
  <c r="AZ541" i="3"/>
  <c r="AZ548" i="3"/>
  <c r="AZ398" i="3"/>
  <c r="W37" i="39"/>
  <c r="AC37" i="39"/>
  <c r="AC47" i="34"/>
  <c r="W47" i="34"/>
  <c r="AA9" i="37"/>
  <c r="S9" i="37"/>
  <c r="AA47" i="34"/>
  <c r="S47" i="34"/>
  <c r="U14" i="40"/>
  <c r="AB14" i="40"/>
  <c r="AZ51" i="3"/>
  <c r="AZ441" i="3"/>
  <c r="AZ228" i="3"/>
  <c r="AZ47" i="3"/>
  <c r="AZ137" i="3"/>
  <c r="AZ319" i="3"/>
  <c r="AZ404" i="3"/>
  <c r="AZ437" i="3"/>
  <c r="W21" i="33"/>
  <c r="AC21" i="33"/>
  <c r="W40" i="37"/>
  <c r="AC40" i="37"/>
  <c r="U47" i="34"/>
  <c r="AB47" i="34"/>
  <c r="AZ56" i="3"/>
  <c r="AZ59" i="3"/>
  <c r="AZ433" i="3"/>
  <c r="AZ257" i="3"/>
  <c r="AZ460" i="3"/>
  <c r="AZ227" i="3"/>
  <c r="C11" i="59"/>
  <c r="D12" i="59"/>
  <c r="W24" i="36"/>
  <c r="AC24" i="36"/>
  <c r="AA13" i="34"/>
  <c r="S13" i="34"/>
  <c r="AA14" i="40"/>
  <c r="S14" i="40"/>
  <c r="S19" i="21"/>
  <c r="AZ79" i="3"/>
  <c r="AZ75" i="3"/>
  <c r="AZ48" i="3"/>
  <c r="AZ163" i="3"/>
  <c r="AZ212" i="3"/>
  <c r="AZ121" i="3"/>
  <c r="AZ217" i="3"/>
  <c r="AZ21" i="3"/>
  <c r="AZ455" i="3"/>
  <c r="S40" i="37"/>
  <c r="AA40" i="37"/>
  <c r="U13" i="34"/>
  <c r="AB13" i="34"/>
  <c r="AZ567" i="3"/>
  <c r="BL5" i="3"/>
  <c r="J7" i="34"/>
  <c r="AZ97" i="3"/>
  <c r="AZ351" i="3"/>
  <c r="AZ471" i="3"/>
  <c r="AZ214" i="3"/>
  <c r="AZ177" i="3"/>
  <c r="AZ266" i="3"/>
  <c r="AZ482" i="3"/>
  <c r="U12" i="37"/>
  <c r="AB12" i="37"/>
  <c r="AZ491" i="3"/>
  <c r="AA21" i="33"/>
  <c r="S21" i="33"/>
  <c r="AA12" i="37"/>
  <c r="S12" i="37"/>
  <c r="AC34" i="35"/>
  <c r="W34" i="35"/>
  <c r="AA30" i="33"/>
  <c r="S30" i="33"/>
  <c r="AZ19" i="3"/>
  <c r="D72" i="59"/>
  <c r="C71" i="59"/>
  <c r="D71" i="59" s="1"/>
  <c r="AZ213" i="3"/>
  <c r="AZ187" i="3"/>
  <c r="AZ225" i="3"/>
  <c r="AZ233" i="3"/>
  <c r="AB9" i="36"/>
  <c r="U9" i="36"/>
  <c r="AA14" i="37"/>
  <c r="S14" i="37"/>
  <c r="AB36" i="35"/>
  <c r="U36" i="35"/>
  <c r="S9" i="35"/>
  <c r="AA9" i="35"/>
  <c r="S12" i="36"/>
  <c r="AA12" i="36"/>
  <c r="AA11" i="33"/>
  <c r="AB27" i="33"/>
  <c r="AZ42" i="3"/>
  <c r="AZ152" i="3"/>
  <c r="AZ198" i="3"/>
  <c r="AZ70" i="3"/>
  <c r="AZ25" i="3"/>
  <c r="AZ452" i="3"/>
  <c r="AZ145" i="3"/>
  <c r="AZ223" i="3"/>
  <c r="AZ478" i="3"/>
  <c r="AZ386" i="3"/>
  <c r="AZ18" i="3"/>
  <c r="U14" i="21"/>
  <c r="AB14" i="21"/>
  <c r="S31" i="21"/>
  <c r="AA31" i="21"/>
  <c r="W14" i="37"/>
  <c r="AC14" i="37"/>
  <c r="AC36" i="35"/>
  <c r="W36" i="35"/>
  <c r="AB9" i="35"/>
  <c r="U9" i="35"/>
  <c r="W12" i="36"/>
  <c r="AC12" i="36"/>
  <c r="AZ194" i="3"/>
  <c r="AZ250" i="3"/>
  <c r="AZ55" i="3"/>
  <c r="AZ39" i="3"/>
  <c r="AZ94" i="3"/>
  <c r="AZ209" i="3"/>
  <c r="AZ236" i="3"/>
  <c r="AZ141" i="3"/>
  <c r="AZ140" i="3"/>
  <c r="AZ120" i="3"/>
  <c r="AZ255" i="3"/>
  <c r="AZ436" i="3"/>
  <c r="AZ279" i="3"/>
  <c r="AZ387" i="3"/>
  <c r="AZ431" i="3"/>
  <c r="AZ479" i="3"/>
  <c r="W45" i="34"/>
  <c r="AC45" i="34"/>
  <c r="W46" i="33"/>
  <c r="AC46" i="33"/>
  <c r="U14" i="37"/>
  <c r="AB14" i="37"/>
  <c r="U12" i="33"/>
  <c r="AB12" i="33"/>
  <c r="AZ52" i="3"/>
  <c r="AZ58" i="3"/>
  <c r="AZ234" i="3"/>
  <c r="AZ252" i="3"/>
  <c r="AZ288" i="3"/>
  <c r="AZ434" i="3"/>
  <c r="AZ289" i="3"/>
  <c r="AZ542" i="3"/>
  <c r="AA45" i="34"/>
  <c r="S45" i="34"/>
  <c r="U13" i="35"/>
  <c r="AB13" i="35"/>
  <c r="W12" i="33"/>
  <c r="AC12" i="33"/>
  <c r="AZ31" i="3"/>
  <c r="F7" i="34"/>
  <c r="AZ78" i="3"/>
  <c r="AZ462" i="3"/>
  <c r="AZ474" i="3"/>
  <c r="W12" i="21"/>
  <c r="AC12" i="21"/>
  <c r="AB25" i="36"/>
  <c r="U25" i="36"/>
  <c r="W28" i="21"/>
  <c r="AC28" i="21"/>
  <c r="E29" i="6"/>
  <c r="K15" i="1" s="1"/>
  <c r="AZ82" i="3"/>
  <c r="AZ28" i="3"/>
  <c r="AZ458" i="3"/>
  <c r="AZ278" i="3"/>
  <c r="AZ241" i="3"/>
  <c r="AA26" i="37"/>
  <c r="S26" i="37"/>
  <c r="W27" i="34"/>
  <c r="AC27" i="34"/>
  <c r="U25" i="37"/>
  <c r="AB25" i="37"/>
  <c r="AB24" i="35"/>
  <c r="U24" i="35"/>
  <c r="S44" i="33"/>
  <c r="AA44" i="33"/>
  <c r="AA9" i="34"/>
  <c r="S9" i="34"/>
  <c r="AB31" i="39"/>
  <c r="U31" i="39"/>
  <c r="AZ287" i="3"/>
  <c r="D49" i="59"/>
  <c r="T49" i="59"/>
  <c r="AZ96" i="3"/>
  <c r="AZ274" i="3"/>
  <c r="AZ220" i="3"/>
  <c r="AZ276" i="3"/>
  <c r="AZ36" i="3"/>
  <c r="AZ350" i="3"/>
  <c r="AZ563" i="3"/>
  <c r="AC26" i="37"/>
  <c r="W26" i="37"/>
  <c r="U29" i="21"/>
  <c r="AB29" i="21"/>
  <c r="S25" i="37"/>
  <c r="AA25" i="37"/>
  <c r="AC44" i="33"/>
  <c r="W44" i="33"/>
  <c r="AC9" i="34"/>
  <c r="W9" i="34"/>
  <c r="D60" i="59"/>
  <c r="C59" i="59"/>
  <c r="D59" i="59" s="1"/>
  <c r="AZ176" i="3"/>
  <c r="AC9" i="36"/>
  <c r="W9" i="36"/>
  <c r="AA9" i="36"/>
  <c r="S9" i="36"/>
  <c r="U44" i="33"/>
  <c r="AB44" i="33"/>
  <c r="S36" i="35"/>
  <c r="AA36" i="35"/>
  <c r="AB9" i="34"/>
  <c r="U9" i="34"/>
  <c r="W9" i="35"/>
  <c r="AC9" i="35"/>
  <c r="U12" i="36"/>
  <c r="AB12" i="36"/>
  <c r="F70" i="74"/>
  <c r="M7" i="74"/>
  <c r="F49" i="74"/>
  <c r="M10" i="1"/>
  <c r="AB10" i="21"/>
  <c r="S42" i="21"/>
  <c r="U42" i="21"/>
  <c r="W42" i="21"/>
  <c r="U45" i="39"/>
  <c r="AB45" i="39"/>
  <c r="AC45" i="39"/>
  <c r="W45" i="39"/>
  <c r="U11" i="21"/>
  <c r="AB11" i="21"/>
  <c r="W11" i="21"/>
  <c r="AC11" i="21"/>
  <c r="S11" i="21"/>
  <c r="AA11" i="21"/>
  <c r="W10" i="21"/>
  <c r="F11" i="74"/>
  <c r="M11" i="74"/>
  <c r="J10" i="74" s="1"/>
  <c r="F30" i="6"/>
  <c r="L19" i="6"/>
  <c r="L27" i="6" s="1"/>
  <c r="P6" i="1"/>
  <c r="H104" i="46"/>
  <c r="F107" i="46"/>
  <c r="H109" i="46"/>
  <c r="K107" i="46"/>
  <c r="L109" i="46"/>
  <c r="P7" i="1"/>
  <c r="F106" i="46"/>
  <c r="F102" i="46"/>
  <c r="H105" i="46"/>
  <c r="K106" i="46"/>
  <c r="K104" i="46"/>
  <c r="D22" i="46"/>
  <c r="U19" i="39"/>
  <c r="AC19" i="39"/>
  <c r="O8" i="1"/>
  <c r="P8" i="1" s="1"/>
  <c r="C15" i="43"/>
  <c r="I103" i="46"/>
  <c r="I104" i="46"/>
  <c r="J106" i="46"/>
  <c r="J109" i="46"/>
  <c r="I106" i="46"/>
  <c r="J105" i="46"/>
  <c r="K105" i="46"/>
  <c r="J104" i="46"/>
  <c r="H16" i="1"/>
  <c r="K102" i="46"/>
  <c r="F105" i="46"/>
  <c r="F109" i="46"/>
  <c r="J103" i="46"/>
  <c r="N107" i="46"/>
  <c r="J102" i="46"/>
  <c r="H106" i="46"/>
  <c r="I107" i="46"/>
  <c r="I102" i="46"/>
  <c r="K109" i="46"/>
  <c r="H107" i="46"/>
  <c r="M9" i="44"/>
  <c r="J8" i="44" s="1"/>
  <c r="J20" i="44" s="1"/>
  <c r="C29" i="44"/>
  <c r="Q73" i="44"/>
  <c r="J58" i="44"/>
  <c r="J56" i="44" s="1"/>
  <c r="J59" i="44" s="1"/>
  <c r="Q52" i="44" s="1"/>
  <c r="L57" i="44"/>
  <c r="J60" i="44"/>
  <c r="I55" i="44"/>
  <c r="J61" i="44"/>
  <c r="Q50" i="44" s="1"/>
  <c r="J54" i="44"/>
  <c r="F1" i="44" s="1"/>
  <c r="L59" i="44"/>
  <c r="Q62" i="44" s="1"/>
  <c r="L60" i="44"/>
  <c r="Q76" i="44" s="1"/>
  <c r="C8" i="44"/>
  <c r="C34" i="44" s="1"/>
  <c r="L58" i="15"/>
  <c r="Q74" i="15" s="1"/>
  <c r="L59" i="15"/>
  <c r="Q75" i="15" s="1"/>
  <c r="Q72" i="15"/>
  <c r="C6" i="15"/>
  <c r="C32" i="15" s="1"/>
  <c r="F50" i="15"/>
  <c r="F63" i="15"/>
  <c r="F64" i="15"/>
  <c r="J53" i="15"/>
  <c r="F1" i="15" s="1"/>
  <c r="I54" i="15"/>
  <c r="L56" i="15"/>
  <c r="J57" i="15"/>
  <c r="J55" i="15" s="1"/>
  <c r="J58" i="15" s="1"/>
  <c r="Q51" i="15" s="1"/>
  <c r="C27" i="15"/>
  <c r="F65" i="15"/>
  <c r="F49" i="15"/>
  <c r="M7" i="15"/>
  <c r="J6" i="15" s="1"/>
  <c r="J18" i="15" s="1"/>
  <c r="F70" i="15"/>
  <c r="F67" i="15"/>
  <c r="AP16" i="1"/>
  <c r="F22" i="11" s="1"/>
  <c r="Q16" i="1"/>
  <c r="F104" i="46"/>
  <c r="H103" i="46"/>
  <c r="E8" i="6"/>
  <c r="E53" i="40" s="1"/>
  <c r="N105" i="46"/>
  <c r="I105" i="46"/>
  <c r="G105" i="46"/>
  <c r="L103" i="46"/>
  <c r="L104" i="46"/>
  <c r="G109" i="46"/>
  <c r="AZ13" i="3"/>
  <c r="G102" i="46"/>
  <c r="G106" i="46"/>
  <c r="D12" i="11"/>
  <c r="C12" i="11" s="1"/>
  <c r="N103" i="46"/>
  <c r="E109" i="46"/>
  <c r="N102" i="46"/>
  <c r="N106" i="46"/>
  <c r="N104" i="46"/>
  <c r="L107" i="46"/>
  <c r="G107" i="46"/>
  <c r="G104" i="46"/>
  <c r="L106" i="46"/>
  <c r="B115" i="46"/>
  <c r="C115" i="46" s="1"/>
  <c r="I115" i="46"/>
  <c r="J115" i="46" s="1"/>
  <c r="K115" i="46" s="1"/>
  <c r="L115" i="46" s="1"/>
  <c r="M115" i="46" s="1"/>
  <c r="M105" i="46"/>
  <c r="C109" i="46"/>
  <c r="C104" i="46"/>
  <c r="C102" i="46"/>
  <c r="C103" i="46"/>
  <c r="C107" i="46"/>
  <c r="B118" i="46"/>
  <c r="C118" i="46" s="1"/>
  <c r="I118" i="46"/>
  <c r="J118" i="46" s="1"/>
  <c r="K118" i="46" s="1"/>
  <c r="L118" i="46" s="1"/>
  <c r="M118" i="46" s="1"/>
  <c r="G118" i="46"/>
  <c r="H118" i="46" s="1"/>
  <c r="D116" i="46"/>
  <c r="E116" i="46" s="1"/>
  <c r="F116" i="46" s="1"/>
  <c r="G116" i="46" s="1"/>
  <c r="H116" i="46" s="1"/>
  <c r="I117" i="46"/>
  <c r="J117" i="46" s="1"/>
  <c r="K117" i="46" s="1"/>
  <c r="L117" i="46" s="1"/>
  <c r="M117" i="46" s="1"/>
  <c r="E106" i="46"/>
  <c r="M103" i="46"/>
  <c r="E107" i="46"/>
  <c r="L105" i="46"/>
  <c r="M109" i="46"/>
  <c r="M107" i="46"/>
  <c r="B117" i="46"/>
  <c r="C117" i="46" s="1"/>
  <c r="D117" i="46"/>
  <c r="E117" i="46" s="1"/>
  <c r="F117" i="46" s="1"/>
  <c r="G117" i="46" s="1"/>
  <c r="H117" i="46" s="1"/>
  <c r="D105" i="46"/>
  <c r="D106" i="46"/>
  <c r="D107" i="46"/>
  <c r="D102" i="46"/>
  <c r="D103" i="46"/>
  <c r="D109" i="46"/>
  <c r="M102" i="46"/>
  <c r="I116" i="46"/>
  <c r="J116" i="46" s="1"/>
  <c r="K116" i="46" s="1"/>
  <c r="L116" i="46" s="1"/>
  <c r="M116" i="46" s="1"/>
  <c r="C106" i="46"/>
  <c r="D115" i="46"/>
  <c r="E115" i="46" s="1"/>
  <c r="F115" i="46" s="1"/>
  <c r="G115" i="46" s="1"/>
  <c r="H115" i="46" s="1"/>
  <c r="E103" i="46"/>
  <c r="E105" i="46"/>
  <c r="E104" i="46"/>
  <c r="B116" i="46"/>
  <c r="C116" i="46" s="1"/>
  <c r="M104" i="46"/>
  <c r="G16" i="1"/>
  <c r="F12" i="39" s="1"/>
  <c r="K34" i="9"/>
  <c r="E20" i="46"/>
  <c r="O28" i="46" s="1"/>
  <c r="I1" i="65"/>
  <c r="J1" i="65"/>
  <c r="F65" i="40"/>
  <c r="E67" i="40"/>
  <c r="G72" i="39"/>
  <c r="H70" i="39"/>
  <c r="G30" i="6"/>
  <c r="G31" i="6" s="1"/>
  <c r="E28" i="6"/>
  <c r="W34" i="36"/>
  <c r="AC34" i="36"/>
  <c r="E15" i="6"/>
  <c r="E14" i="6"/>
  <c r="E13" i="6"/>
  <c r="E10" i="6"/>
  <c r="E11" i="6"/>
  <c r="E12" i="6"/>
  <c r="AC7" i="36"/>
  <c r="V36" i="36" s="1"/>
  <c r="I36" i="36" s="1"/>
  <c r="W7" i="36"/>
  <c r="M13" i="44"/>
  <c r="J12" i="44" s="1"/>
  <c r="F13" i="44"/>
  <c r="M11" i="15"/>
  <c r="J10" i="15" s="1"/>
  <c r="F11" i="15"/>
  <c r="AB23" i="36"/>
  <c r="U23" i="36"/>
  <c r="AB9" i="33"/>
  <c r="U9" i="33"/>
  <c r="F58" i="33"/>
  <c r="F58" i="21"/>
  <c r="S34" i="36"/>
  <c r="AA34" i="36"/>
  <c r="F48" i="35"/>
  <c r="G48" i="35" s="1"/>
  <c r="H48" i="35" s="1"/>
  <c r="I48" i="35" s="1"/>
  <c r="J48" i="35" s="1"/>
  <c r="K48" i="35" s="1"/>
  <c r="L48" i="35" s="1"/>
  <c r="M48" i="35" s="1"/>
  <c r="N48" i="35" s="1"/>
  <c r="O48" i="35" s="1"/>
  <c r="Q55" i="59"/>
  <c r="Q54" i="59"/>
  <c r="C25" i="59"/>
  <c r="D24" i="59"/>
  <c r="S17" i="59"/>
  <c r="B16" i="59"/>
  <c r="B15" i="59" s="1"/>
  <c r="U7" i="34"/>
  <c r="AB7" i="34"/>
  <c r="T49" i="34" s="1"/>
  <c r="G49" i="34" s="1"/>
  <c r="C20" i="59"/>
  <c r="D19" i="59"/>
  <c r="C45" i="59"/>
  <c r="D44" i="59"/>
  <c r="AZ258" i="3"/>
  <c r="AC9" i="33"/>
  <c r="W9" i="33"/>
  <c r="W7" i="34"/>
  <c r="AC7" i="34"/>
  <c r="V49" i="34" s="1"/>
  <c r="I49" i="34" s="1"/>
  <c r="AA7" i="34"/>
  <c r="R49" i="34" s="1"/>
  <c r="S7" i="34"/>
  <c r="E55" i="59"/>
  <c r="P56" i="59"/>
  <c r="D55" i="59"/>
  <c r="O54" i="59"/>
  <c r="O55" i="59"/>
  <c r="S13" i="59"/>
  <c r="B12" i="59"/>
  <c r="B11" i="59" s="1"/>
  <c r="B10" i="59" s="1"/>
  <c r="B9" i="59" s="1"/>
  <c r="D41" i="59"/>
  <c r="T41" i="59"/>
  <c r="AZ264" i="3"/>
  <c r="AZ249" i="3"/>
  <c r="AZ426" i="3"/>
  <c r="S30" i="21"/>
  <c r="AA30" i="21"/>
  <c r="AC34" i="40"/>
  <c r="W34" i="40"/>
  <c r="AB7" i="36"/>
  <c r="T36" i="36" s="1"/>
  <c r="G36" i="36" s="1"/>
  <c r="U7" i="36"/>
  <c r="G5" i="3"/>
  <c r="B3" i="3" s="1"/>
  <c r="J52" i="37"/>
  <c r="B21" i="63"/>
  <c r="N4" i="63"/>
  <c r="C19" i="46"/>
  <c r="T12" i="46" s="1"/>
  <c r="V12" i="46" s="1"/>
  <c r="T29" i="59"/>
  <c r="D29" i="59"/>
  <c r="V13" i="59"/>
  <c r="F12" i="59"/>
  <c r="F11" i="59" s="1"/>
  <c r="F10" i="59" s="1"/>
  <c r="F9" i="59" s="1"/>
  <c r="D32" i="59"/>
  <c r="C33" i="59"/>
  <c r="AZ248" i="3"/>
  <c r="AC28" i="34"/>
  <c r="W28" i="34"/>
  <c r="U30" i="21"/>
  <c r="AB30" i="21"/>
  <c r="BA5" i="3"/>
  <c r="AA34" i="40"/>
  <c r="S34" i="40"/>
  <c r="AZ27" i="3"/>
  <c r="E8" i="59"/>
  <c r="E7" i="59" s="1"/>
  <c r="E6" i="59" s="1"/>
  <c r="E5" i="59" s="1"/>
  <c r="U9" i="59"/>
  <c r="AZ261" i="3"/>
  <c r="AC23" i="36"/>
  <c r="W23" i="36"/>
  <c r="U34" i="36"/>
  <c r="AB34" i="36"/>
  <c r="N54" i="59"/>
  <c r="N55" i="59"/>
  <c r="W30" i="21"/>
  <c r="AC30" i="21"/>
  <c r="AA7" i="36"/>
  <c r="R36" i="36" s="1"/>
  <c r="S7" i="36"/>
  <c r="AE9" i="1"/>
  <c r="F36" i="74"/>
  <c r="M24" i="74"/>
  <c r="M26" i="74"/>
  <c r="F16" i="74"/>
  <c r="AE8" i="1"/>
  <c r="E3" i="65"/>
  <c r="F40" i="74"/>
  <c r="M8" i="74"/>
  <c r="E2" i="65"/>
  <c r="J15" i="74"/>
  <c r="F13" i="74"/>
  <c r="M22" i="74"/>
  <c r="M27" i="74"/>
  <c r="M23" i="74"/>
  <c r="F42" i="74"/>
  <c r="F37" i="74"/>
  <c r="L47" i="74"/>
  <c r="F41" i="15"/>
  <c r="M9" i="74"/>
  <c r="F6" i="74"/>
  <c r="F26" i="74"/>
  <c r="L48" i="74"/>
  <c r="F9" i="74"/>
  <c r="F8" i="74"/>
  <c r="F38" i="74"/>
  <c r="M28" i="74"/>
  <c r="C18" i="44"/>
  <c r="J36" i="74"/>
  <c r="C16" i="15"/>
  <c r="M6" i="74"/>
  <c r="D11" i="59" l="1"/>
  <c r="C10" i="59"/>
  <c r="AZ5" i="3"/>
  <c r="E3" i="6" s="1"/>
  <c r="F33" i="12"/>
  <c r="C34" i="12" s="1"/>
  <c r="D33" i="12" s="1"/>
  <c r="Q18" i="1"/>
  <c r="J59" i="74"/>
  <c r="L56" i="74"/>
  <c r="J60" i="74"/>
  <c r="Q49" i="74" s="1"/>
  <c r="J57" i="74"/>
  <c r="J55" i="74" s="1"/>
  <c r="J58" i="74" s="1"/>
  <c r="Q51" i="74" s="1"/>
  <c r="L60" i="74"/>
  <c r="J53" i="74"/>
  <c r="I54" i="74"/>
  <c r="L57" i="74"/>
  <c r="L59" i="74"/>
  <c r="L58" i="74"/>
  <c r="F65" i="74"/>
  <c r="C27" i="74"/>
  <c r="F64" i="74"/>
  <c r="Q72" i="74"/>
  <c r="F50" i="74"/>
  <c r="C48" i="74" s="1"/>
  <c r="C6" i="74"/>
  <c r="C33" i="74" s="1"/>
  <c r="F63" i="74"/>
  <c r="F67" i="74"/>
  <c r="J6" i="74"/>
  <c r="J18" i="74" s="1"/>
  <c r="E487" i="3"/>
  <c r="C33" i="21"/>
  <c r="O10" i="1"/>
  <c r="P10" i="1" s="1"/>
  <c r="C52" i="74"/>
  <c r="C15" i="12"/>
  <c r="L15" i="12" s="1"/>
  <c r="F68" i="15"/>
  <c r="C12" i="44"/>
  <c r="C7" i="44" s="1"/>
  <c r="C40" i="44" s="1"/>
  <c r="Q63" i="44"/>
  <c r="Q62" i="15"/>
  <c r="Q75" i="44"/>
  <c r="Q54" i="44"/>
  <c r="J5" i="15"/>
  <c r="J24" i="15" s="1"/>
  <c r="Q61" i="15"/>
  <c r="Q53" i="15"/>
  <c r="C48" i="15"/>
  <c r="J7" i="44"/>
  <c r="J26" i="44" s="1"/>
  <c r="F18" i="11"/>
  <c r="C18" i="11" s="1"/>
  <c r="F24" i="43"/>
  <c r="C26" i="43" s="1"/>
  <c r="D24" i="43" s="1"/>
  <c r="E58" i="39"/>
  <c r="F27" i="6"/>
  <c r="F31" i="6" s="1"/>
  <c r="E16" i="68" s="1"/>
  <c r="E17" i="68" s="1"/>
  <c r="E18" i="68" s="1"/>
  <c r="E569" i="3"/>
  <c r="D113" i="46"/>
  <c r="H12" i="39"/>
  <c r="J12" i="40"/>
  <c r="W12" i="40" s="1"/>
  <c r="J12" i="39"/>
  <c r="AC12" i="39" s="1"/>
  <c r="H12" i="40"/>
  <c r="AB12" i="40" s="1"/>
  <c r="F12" i="40"/>
  <c r="S12" i="40" s="1"/>
  <c r="N28" i="46"/>
  <c r="M28" i="46"/>
  <c r="P28" i="46"/>
  <c r="F17" i="11"/>
  <c r="C17" i="11" s="1"/>
  <c r="B40" i="1"/>
  <c r="F7" i="35"/>
  <c r="S12" i="39"/>
  <c r="AA12" i="39"/>
  <c r="I70" i="39"/>
  <c r="H72" i="39"/>
  <c r="G65" i="40"/>
  <c r="F67" i="40"/>
  <c r="J7" i="35"/>
  <c r="AY6" i="3"/>
  <c r="B8" i="59"/>
  <c r="B7" i="59" s="1"/>
  <c r="B6" i="59" s="1"/>
  <c r="B5" i="59" s="1"/>
  <c r="S9" i="59"/>
  <c r="E427" i="3"/>
  <c r="E246" i="3"/>
  <c r="F8" i="59"/>
  <c r="F7" i="59" s="1"/>
  <c r="F6" i="59" s="1"/>
  <c r="F5" i="59" s="1"/>
  <c r="V9" i="59"/>
  <c r="R50" i="34"/>
  <c r="E49" i="34"/>
  <c r="C33" i="46"/>
  <c r="C21" i="59"/>
  <c r="D20" i="59"/>
  <c r="T5" i="46"/>
  <c r="V5" i="46" s="1"/>
  <c r="T16" i="46"/>
  <c r="V16" i="46" s="1"/>
  <c r="E164" i="3"/>
  <c r="E16" i="6"/>
  <c r="T10" i="46"/>
  <c r="V10" i="46" s="1"/>
  <c r="T4" i="46"/>
  <c r="V4" i="46" s="1"/>
  <c r="G58" i="21"/>
  <c r="H58" i="21" s="1"/>
  <c r="I58" i="21" s="1"/>
  <c r="J58" i="21" s="1"/>
  <c r="K58" i="21" s="1"/>
  <c r="L58" i="21" s="1"/>
  <c r="M58" i="21" s="1"/>
  <c r="N58" i="21" s="1"/>
  <c r="O58" i="21" s="1"/>
  <c r="E259" i="3"/>
  <c r="I40" i="36"/>
  <c r="J40" i="36" s="1"/>
  <c r="E63" i="39"/>
  <c r="E58" i="40"/>
  <c r="E249" i="3"/>
  <c r="E238" i="3"/>
  <c r="E178" i="3"/>
  <c r="I53" i="34"/>
  <c r="J53" i="34" s="1"/>
  <c r="C35" i="46"/>
  <c r="T11" i="46"/>
  <c r="V11" i="46" s="1"/>
  <c r="T7" i="46"/>
  <c r="V7" i="46" s="1"/>
  <c r="E65" i="39"/>
  <c r="E60" i="40"/>
  <c r="E283" i="3"/>
  <c r="E443" i="3"/>
  <c r="E194" i="3"/>
  <c r="E78" i="3"/>
  <c r="E390" i="3"/>
  <c r="E296" i="3"/>
  <c r="E534" i="3"/>
  <c r="E387" i="3"/>
  <c r="R6" i="3"/>
  <c r="E125" i="3"/>
  <c r="AH6" i="3"/>
  <c r="P6" i="3"/>
  <c r="E84" i="3"/>
  <c r="AP6" i="3"/>
  <c r="E431" i="3"/>
  <c r="E70" i="3"/>
  <c r="E38" i="3"/>
  <c r="E151" i="3"/>
  <c r="E313" i="3"/>
  <c r="E53" i="3"/>
  <c r="E405" i="3"/>
  <c r="W6" i="3"/>
  <c r="E190" i="3"/>
  <c r="E420" i="3"/>
  <c r="E233" i="3"/>
  <c r="E203" i="3"/>
  <c r="E402" i="3"/>
  <c r="E172" i="3"/>
  <c r="E255" i="3"/>
  <c r="E417" i="3"/>
  <c r="E145" i="3"/>
  <c r="E279" i="3"/>
  <c r="E347" i="3"/>
  <c r="E400" i="3"/>
  <c r="E58" i="3"/>
  <c r="E197" i="3"/>
  <c r="E285" i="3"/>
  <c r="E61" i="3"/>
  <c r="E433" i="3"/>
  <c r="E529" i="3"/>
  <c r="E300" i="3"/>
  <c r="E379" i="3"/>
  <c r="E530" i="3"/>
  <c r="E538" i="3"/>
  <c r="E403" i="3"/>
  <c r="E217" i="3"/>
  <c r="E177" i="3"/>
  <c r="E307" i="3"/>
  <c r="E90" i="3"/>
  <c r="E210" i="3"/>
  <c r="E106" i="3"/>
  <c r="E226" i="3"/>
  <c r="E163" i="3"/>
  <c r="E351" i="3"/>
  <c r="AL6" i="3"/>
  <c r="E368" i="3"/>
  <c r="E510" i="3"/>
  <c r="E504" i="3"/>
  <c r="E244" i="3"/>
  <c r="E137" i="3"/>
  <c r="E301" i="3"/>
  <c r="E484" i="3"/>
  <c r="E356" i="3"/>
  <c r="E86" i="3"/>
  <c r="E135" i="3"/>
  <c r="E22" i="3"/>
  <c r="E459" i="3"/>
  <c r="E231" i="3"/>
  <c r="E470" i="3"/>
  <c r="E186" i="3"/>
  <c r="E299" i="3"/>
  <c r="Z6" i="3"/>
  <c r="E520" i="3"/>
  <c r="E561" i="3"/>
  <c r="E23" i="3"/>
  <c r="E156" i="3"/>
  <c r="E49" i="3"/>
  <c r="E193" i="3"/>
  <c r="E104" i="3"/>
  <c r="E472" i="3"/>
  <c r="E253" i="3"/>
  <c r="E537" i="3"/>
  <c r="E54" i="3"/>
  <c r="E452" i="3"/>
  <c r="E213" i="3"/>
  <c r="E536" i="3"/>
  <c r="E397" i="3"/>
  <c r="E462" i="3"/>
  <c r="E47" i="3"/>
  <c r="E545" i="3"/>
  <c r="E482" i="3"/>
  <c r="E473" i="3"/>
  <c r="N6" i="3"/>
  <c r="E232" i="3"/>
  <c r="E189" i="3"/>
  <c r="E507" i="3"/>
  <c r="E275" i="3"/>
  <c r="L6" i="3"/>
  <c r="E429" i="3"/>
  <c r="E116" i="3"/>
  <c r="E372" i="3"/>
  <c r="E465" i="3"/>
  <c r="E154" i="3"/>
  <c r="E243" i="3"/>
  <c r="E309" i="3"/>
  <c r="E448" i="3"/>
  <c r="E74" i="3"/>
  <c r="E121" i="3"/>
  <c r="E224" i="3"/>
  <c r="E123" i="3"/>
  <c r="E66" i="3"/>
  <c r="E76" i="3"/>
  <c r="E24" i="3"/>
  <c r="E271" i="3"/>
  <c r="E508" i="3"/>
  <c r="E493" i="3"/>
  <c r="E108" i="3"/>
  <c r="E81" i="3"/>
  <c r="E277" i="3"/>
  <c r="E524" i="3"/>
  <c r="E212" i="3"/>
  <c r="E35" i="3"/>
  <c r="E182" i="3"/>
  <c r="E267" i="3"/>
  <c r="E312" i="3"/>
  <c r="E514" i="3"/>
  <c r="E512" i="3"/>
  <c r="E371" i="3"/>
  <c r="E567" i="3"/>
  <c r="E329" i="3"/>
  <c r="E26" i="3"/>
  <c r="E322" i="3"/>
  <c r="E17" i="3"/>
  <c r="E18" i="3"/>
  <c r="E509" i="3"/>
  <c r="E564" i="3"/>
  <c r="E476" i="3"/>
  <c r="E114" i="3"/>
  <c r="E93" i="3"/>
  <c r="E55" i="3"/>
  <c r="E570" i="3"/>
  <c r="E124" i="3"/>
  <c r="E215" i="3"/>
  <c r="E103" i="3"/>
  <c r="E62" i="3"/>
  <c r="E230" i="3"/>
  <c r="E535" i="3"/>
  <c r="E265" i="3"/>
  <c r="AM6" i="3"/>
  <c r="E337" i="3"/>
  <c r="E158" i="3"/>
  <c r="E376" i="3"/>
  <c r="E294" i="3"/>
  <c r="E21" i="3"/>
  <c r="E64" i="3"/>
  <c r="E140" i="3"/>
  <c r="E343" i="3"/>
  <c r="E142" i="3"/>
  <c r="E410" i="3"/>
  <c r="E468" i="3"/>
  <c r="E109" i="3"/>
  <c r="E185" i="3"/>
  <c r="E148" i="3"/>
  <c r="E27" i="3"/>
  <c r="E412" i="3"/>
  <c r="E469" i="3"/>
  <c r="E293" i="3"/>
  <c r="E560" i="3"/>
  <c r="E111" i="3"/>
  <c r="E261" i="3"/>
  <c r="E39" i="3"/>
  <c r="E107" i="3"/>
  <c r="E288" i="3"/>
  <c r="E393" i="3"/>
  <c r="E88" i="3"/>
  <c r="E480" i="3"/>
  <c r="E220" i="3"/>
  <c r="E517" i="3"/>
  <c r="E453" i="3"/>
  <c r="AQ6" i="3"/>
  <c r="E162" i="3"/>
  <c r="E235" i="3"/>
  <c r="E229" i="3"/>
  <c r="E120" i="3"/>
  <c r="E191" i="3"/>
  <c r="E555" i="3"/>
  <c r="E355" i="3"/>
  <c r="E499" i="3"/>
  <c r="E558" i="3"/>
  <c r="E173" i="3"/>
  <c r="E436" i="3"/>
  <c r="E260" i="3"/>
  <c r="E432" i="3"/>
  <c r="E153" i="3"/>
  <c r="E339" i="3"/>
  <c r="E14" i="3"/>
  <c r="E118" i="3"/>
  <c r="E378" i="3"/>
  <c r="E364" i="3"/>
  <c r="E342" i="3"/>
  <c r="E522" i="3"/>
  <c r="E572" i="3"/>
  <c r="E516" i="3"/>
  <c r="E227" i="3"/>
  <c r="E488" i="3"/>
  <c r="E71" i="3"/>
  <c r="E240" i="3"/>
  <c r="E382" i="3"/>
  <c r="E326" i="3"/>
  <c r="E481" i="3"/>
  <c r="E471" i="3"/>
  <c r="E408" i="3"/>
  <c r="E44" i="3"/>
  <c r="E149" i="3"/>
  <c r="E549" i="3"/>
  <c r="E460" i="3"/>
  <c r="I3" i="6"/>
  <c r="E463" i="3"/>
  <c r="E292" i="3"/>
  <c r="E426" i="3"/>
  <c r="E60" i="3"/>
  <c r="E75" i="3"/>
  <c r="J6" i="3"/>
  <c r="E48" i="3"/>
  <c r="E438" i="3"/>
  <c r="E455" i="3"/>
  <c r="E363" i="3"/>
  <c r="E79" i="3"/>
  <c r="E401" i="3"/>
  <c r="E272" i="3"/>
  <c r="E102" i="3"/>
  <c r="E25" i="3"/>
  <c r="E258" i="3"/>
  <c r="E479" i="3"/>
  <c r="E43" i="3"/>
  <c r="E276" i="3"/>
  <c r="E370" i="3"/>
  <c r="E526" i="3"/>
  <c r="E477" i="3"/>
  <c r="E540" i="3"/>
  <c r="E134" i="3"/>
  <c r="AI6" i="3"/>
  <c r="E239" i="3"/>
  <c r="E234" i="3"/>
  <c r="E128" i="3"/>
  <c r="E176" i="3"/>
  <c r="E554" i="3"/>
  <c r="E525" i="3"/>
  <c r="K6" i="3"/>
  <c r="E353" i="3"/>
  <c r="E50" i="3"/>
  <c r="E236" i="3"/>
  <c r="E474" i="3"/>
  <c r="E171" i="3"/>
  <c r="E354" i="3"/>
  <c r="E531" i="3"/>
  <c r="E495" i="3"/>
  <c r="E344" i="3"/>
  <c r="E335" i="3"/>
  <c r="E366" i="3"/>
  <c r="E330" i="3"/>
  <c r="E350" i="3"/>
  <c r="E496" i="3"/>
  <c r="E352" i="3"/>
  <c r="E138" i="3"/>
  <c r="E519" i="3"/>
  <c r="E252" i="3"/>
  <c r="E544" i="3"/>
  <c r="E523" i="3"/>
  <c r="E381" i="3"/>
  <c r="E278" i="3"/>
  <c r="E94" i="3"/>
  <c r="E187" i="3"/>
  <c r="E199" i="3"/>
  <c r="E423" i="3"/>
  <c r="E435" i="3"/>
  <c r="E490" i="3"/>
  <c r="E218" i="3"/>
  <c r="E442" i="3"/>
  <c r="E110" i="3"/>
  <c r="E63" i="3"/>
  <c r="E129" i="3"/>
  <c r="E98" i="3"/>
  <c r="E422" i="3"/>
  <c r="E398" i="3"/>
  <c r="E533" i="3"/>
  <c r="E37" i="3"/>
  <c r="E303" i="3"/>
  <c r="E467" i="3"/>
  <c r="E67" i="3"/>
  <c r="E214" i="3"/>
  <c r="E486" i="3"/>
  <c r="E543" i="3"/>
  <c r="E264" i="3"/>
  <c r="E369" i="3"/>
  <c r="V6" i="3"/>
  <c r="E105" i="3"/>
  <c r="AG6" i="3"/>
  <c r="E302" i="3"/>
  <c r="E386" i="3"/>
  <c r="E287" i="3"/>
  <c r="E188" i="3"/>
  <c r="E306" i="3"/>
  <c r="E180" i="3"/>
  <c r="E551" i="3"/>
  <c r="E16" i="3"/>
  <c r="E385" i="3"/>
  <c r="E95" i="3"/>
  <c r="E498" i="3"/>
  <c r="E298" i="3"/>
  <c r="E361" i="3"/>
  <c r="E315" i="3"/>
  <c r="E323" i="3"/>
  <c r="E159" i="3"/>
  <c r="E501" i="3"/>
  <c r="E384" i="3"/>
  <c r="E310" i="3"/>
  <c r="AB6" i="3"/>
  <c r="S6" i="3"/>
  <c r="E511" i="3"/>
  <c r="E377" i="3"/>
  <c r="E358" i="3"/>
  <c r="E20" i="3"/>
  <c r="E192" i="3"/>
  <c r="E394" i="3"/>
  <c r="E282" i="3"/>
  <c r="E375" i="3"/>
  <c r="E83" i="3"/>
  <c r="E266" i="3"/>
  <c r="I6" i="3"/>
  <c r="E143" i="3"/>
  <c r="E41" i="3"/>
  <c r="E209" i="3"/>
  <c r="E89" i="3"/>
  <c r="E30" i="3"/>
  <c r="E399" i="3"/>
  <c r="Q6" i="3"/>
  <c r="E34" i="3"/>
  <c r="E247" i="3"/>
  <c r="E257" i="3"/>
  <c r="E451" i="3"/>
  <c r="E449" i="3"/>
  <c r="E336" i="3"/>
  <c r="E51" i="3"/>
  <c r="E133" i="3"/>
  <c r="E362" i="3"/>
  <c r="E324" i="3"/>
  <c r="E45" i="3"/>
  <c r="T6" i="3"/>
  <c r="E485" i="3"/>
  <c r="E167" i="3"/>
  <c r="E273" i="3"/>
  <c r="E155" i="3"/>
  <c r="E380" i="3"/>
  <c r="E69" i="3"/>
  <c r="E437" i="3"/>
  <c r="E528" i="3"/>
  <c r="E127" i="3"/>
  <c r="E99" i="3"/>
  <c r="E297" i="3"/>
  <c r="E280" i="3"/>
  <c r="E414" i="3"/>
  <c r="E428" i="3"/>
  <c r="E274" i="3"/>
  <c r="E415" i="3"/>
  <c r="E357" i="3"/>
  <c r="E97" i="3"/>
  <c r="E136" i="3"/>
  <c r="E245" i="3"/>
  <c r="E556" i="3"/>
  <c r="E73" i="3"/>
  <c r="E308" i="3"/>
  <c r="E513" i="3"/>
  <c r="E290" i="3"/>
  <c r="E29" i="3"/>
  <c r="E502" i="3"/>
  <c r="E396" i="3"/>
  <c r="E15" i="3"/>
  <c r="E181" i="3"/>
  <c r="E506" i="3"/>
  <c r="E340" i="3"/>
  <c r="E542" i="3"/>
  <c r="E268" i="3"/>
  <c r="E557" i="3"/>
  <c r="E413" i="3"/>
  <c r="E147" i="3"/>
  <c r="E91" i="3"/>
  <c r="E195" i="3"/>
  <c r="AD6" i="3"/>
  <c r="E454" i="3"/>
  <c r="E59" i="3"/>
  <c r="E161" i="3"/>
  <c r="E492" i="3"/>
  <c r="E165" i="3"/>
  <c r="E223" i="3"/>
  <c r="E447" i="3"/>
  <c r="E141" i="3"/>
  <c r="E444" i="3"/>
  <c r="E113" i="3"/>
  <c r="E204" i="3"/>
  <c r="E365" i="3"/>
  <c r="Y6" i="3"/>
  <c r="E160" i="3"/>
  <c r="E440" i="3"/>
  <c r="E559" i="3"/>
  <c r="E319" i="3"/>
  <c r="E183" i="3"/>
  <c r="E373" i="3"/>
  <c r="E122" i="3"/>
  <c r="E562" i="3"/>
  <c r="E566" i="3"/>
  <c r="E461" i="3"/>
  <c r="E316" i="3"/>
  <c r="E503" i="3"/>
  <c r="AO6" i="3"/>
  <c r="E206" i="3"/>
  <c r="E46" i="3"/>
  <c r="E31" i="3"/>
  <c r="E430" i="3"/>
  <c r="E434" i="3"/>
  <c r="E418" i="3"/>
  <c r="E450" i="3"/>
  <c r="E36" i="3"/>
  <c r="E201" i="3"/>
  <c r="E441" i="3"/>
  <c r="E478" i="3"/>
  <c r="E119" i="3"/>
  <c r="E407" i="3"/>
  <c r="E568" i="3"/>
  <c r="E139" i="3"/>
  <c r="U6" i="3"/>
  <c r="E196" i="3"/>
  <c r="AR6" i="3"/>
  <c r="E198" i="3"/>
  <c r="E87" i="3"/>
  <c r="E150" i="3"/>
  <c r="E334" i="3"/>
  <c r="AJ6" i="3"/>
  <c r="E284" i="3"/>
  <c r="E144" i="3"/>
  <c r="E483" i="3"/>
  <c r="E515" i="3"/>
  <c r="E563" i="3"/>
  <c r="E346" i="3"/>
  <c r="M6" i="3"/>
  <c r="E446" i="3"/>
  <c r="E117" i="3"/>
  <c r="E391" i="3"/>
  <c r="E311" i="3"/>
  <c r="E82" i="3"/>
  <c r="E262" i="3"/>
  <c r="E411" i="3"/>
  <c r="E270" i="3"/>
  <c r="E202" i="3"/>
  <c r="E131" i="3"/>
  <c r="E100" i="3"/>
  <c r="E32" i="3"/>
  <c r="E80" i="3"/>
  <c r="E179" i="3"/>
  <c r="AE6" i="3"/>
  <c r="E85" i="3"/>
  <c r="E166" i="3"/>
  <c r="E291" i="3"/>
  <c r="E126" i="3"/>
  <c r="E416" i="3"/>
  <c r="E345" i="3"/>
  <c r="AF6" i="3"/>
  <c r="E489" i="3"/>
  <c r="E216" i="3"/>
  <c r="E251" i="3"/>
  <c r="E269" i="3"/>
  <c r="E571" i="3"/>
  <c r="E521" i="3"/>
  <c r="E254" i="3"/>
  <c r="E175" i="3"/>
  <c r="E68" i="3"/>
  <c r="E132" i="3"/>
  <c r="E115" i="3"/>
  <c r="X6" i="3"/>
  <c r="E548" i="3"/>
  <c r="E395" i="3"/>
  <c r="E464" i="3"/>
  <c r="E295" i="3"/>
  <c r="E404" i="3"/>
  <c r="E205" i="3"/>
  <c r="E33" i="3"/>
  <c r="E168" i="3"/>
  <c r="E383" i="3"/>
  <c r="E52" i="3"/>
  <c r="E207" i="3"/>
  <c r="E248" i="3"/>
  <c r="E466" i="3"/>
  <c r="E242" i="3"/>
  <c r="E331" i="3"/>
  <c r="E456" i="3"/>
  <c r="E320" i="3"/>
  <c r="E360" i="3"/>
  <c r="E208" i="3"/>
  <c r="E518" i="3"/>
  <c r="E553" i="3"/>
  <c r="E328" i="3"/>
  <c r="E318" i="3"/>
  <c r="E475" i="3"/>
  <c r="E152" i="3"/>
  <c r="E221" i="3"/>
  <c r="E349" i="3"/>
  <c r="E263" i="3"/>
  <c r="E146" i="3"/>
  <c r="E101" i="3"/>
  <c r="E250" i="3"/>
  <c r="E92" i="3"/>
  <c r="E237" i="3"/>
  <c r="E170" i="3"/>
  <c r="E367" i="3"/>
  <c r="E317" i="3"/>
  <c r="E500" i="3"/>
  <c r="E550" i="3"/>
  <c r="E539" i="3"/>
  <c r="E445" i="3"/>
  <c r="E305" i="3"/>
  <c r="E65" i="3"/>
  <c r="E281" i="3"/>
  <c r="E458" i="3"/>
  <c r="E314" i="3"/>
  <c r="E325" i="3"/>
  <c r="E546" i="3"/>
  <c r="E42" i="3"/>
  <c r="E219" i="3"/>
  <c r="E532" i="3"/>
  <c r="E494" i="3"/>
  <c r="E112" i="3"/>
  <c r="E541" i="3"/>
  <c r="E241" i="3"/>
  <c r="E439" i="3"/>
  <c r="E359" i="3"/>
  <c r="E321" i="3"/>
  <c r="E388" i="3"/>
  <c r="AK6" i="3"/>
  <c r="AN6" i="3"/>
  <c r="E157" i="3"/>
  <c r="E304" i="3"/>
  <c r="E374" i="3"/>
  <c r="E547" i="3"/>
  <c r="E28" i="3"/>
  <c r="AS6" i="3"/>
  <c r="E289" i="3"/>
  <c r="E332" i="3"/>
  <c r="O6" i="3"/>
  <c r="E527" i="3"/>
  <c r="E211" i="3"/>
  <c r="E96" i="3"/>
  <c r="E72" i="3"/>
  <c r="E40" i="3"/>
  <c r="E491" i="3"/>
  <c r="E286" i="3"/>
  <c r="E392" i="3"/>
  <c r="E56" i="3"/>
  <c r="E338" i="3"/>
  <c r="E497" i="3"/>
  <c r="E130" i="3"/>
  <c r="E341" i="3"/>
  <c r="E565" i="3"/>
  <c r="E421" i="3"/>
  <c r="E333" i="3"/>
  <c r="E457" i="3"/>
  <c r="AA6" i="3"/>
  <c r="E327" i="3"/>
  <c r="E77" i="3"/>
  <c r="E57" i="3"/>
  <c r="E389" i="3"/>
  <c r="E348" i="3"/>
  <c r="E174" i="3"/>
  <c r="E505" i="3"/>
  <c r="E222" i="3"/>
  <c r="C38" i="46"/>
  <c r="E409" i="3"/>
  <c r="T25" i="59"/>
  <c r="D25" i="59"/>
  <c r="E225" i="3"/>
  <c r="T9" i="46"/>
  <c r="V9" i="46" s="1"/>
  <c r="T15" i="46"/>
  <c r="V15" i="46" s="1"/>
  <c r="G58" i="33"/>
  <c r="C52" i="15"/>
  <c r="C10" i="15"/>
  <c r="C5" i="15" s="1"/>
  <c r="E61" i="40"/>
  <c r="E66" i="39"/>
  <c r="K52" i="37"/>
  <c r="L52" i="37" s="1"/>
  <c r="M52" i="37" s="1"/>
  <c r="N52" i="37" s="1"/>
  <c r="O52" i="37" s="1"/>
  <c r="E424" i="3"/>
  <c r="E425" i="3"/>
  <c r="E200" i="3"/>
  <c r="E13" i="3"/>
  <c r="E228" i="3"/>
  <c r="E552" i="3"/>
  <c r="E36" i="36"/>
  <c r="R37" i="36"/>
  <c r="E406" i="3"/>
  <c r="C34" i="46"/>
  <c r="E419" i="3"/>
  <c r="G53" i="34"/>
  <c r="H53" i="34" s="1"/>
  <c r="G54" i="34"/>
  <c r="H54" i="34" s="1"/>
  <c r="C29" i="46"/>
  <c r="E67" i="39"/>
  <c r="E62" i="40"/>
  <c r="K14" i="1"/>
  <c r="E30" i="6"/>
  <c r="G41" i="36"/>
  <c r="H41" i="36" s="1"/>
  <c r="G40" i="36"/>
  <c r="H40" i="36" s="1"/>
  <c r="C36" i="46"/>
  <c r="T8" i="46"/>
  <c r="V8" i="46" s="1"/>
  <c r="T2" i="46"/>
  <c r="V2" i="46" s="1"/>
  <c r="AC7" i="35"/>
  <c r="V38" i="35" s="1"/>
  <c r="I38" i="35" s="1"/>
  <c r="W7" i="35"/>
  <c r="E184" i="3"/>
  <c r="T33" i="59"/>
  <c r="D33" i="59"/>
  <c r="C37" i="46"/>
  <c r="H7" i="35"/>
  <c r="T13" i="46"/>
  <c r="V13" i="46" s="1"/>
  <c r="T14" i="46"/>
  <c r="V14" i="46" s="1"/>
  <c r="E19" i="3"/>
  <c r="E169" i="3"/>
  <c r="P55" i="59"/>
  <c r="P54" i="59"/>
  <c r="C39" i="46"/>
  <c r="T45" i="59"/>
  <c r="D45" i="59"/>
  <c r="S7" i="35"/>
  <c r="AA7" i="35"/>
  <c r="R38" i="35" s="1"/>
  <c r="T3" i="46"/>
  <c r="V3" i="46" s="1"/>
  <c r="T6" i="46"/>
  <c r="V6" i="46" s="1"/>
  <c r="F7" i="21"/>
  <c r="E64" i="39"/>
  <c r="E59" i="40"/>
  <c r="E256" i="3"/>
  <c r="F46" i="44"/>
  <c r="C16" i="74"/>
  <c r="L52" i="44"/>
  <c r="C9" i="59" l="1"/>
  <c r="D10" i="59"/>
  <c r="C10" i="74"/>
  <c r="C5" i="74" s="1"/>
  <c r="C38" i="74" s="1"/>
  <c r="C32" i="74"/>
  <c r="J5" i="74"/>
  <c r="J24" i="74" s="1"/>
  <c r="H7" i="37"/>
  <c r="AB7" i="37" s="1"/>
  <c r="T42" i="37" s="1"/>
  <c r="G42" i="37" s="1"/>
  <c r="Q53" i="74"/>
  <c r="F1" i="74"/>
  <c r="Q67" i="74"/>
  <c r="Q58" i="74"/>
  <c r="C47" i="74"/>
  <c r="C59" i="74" s="1"/>
  <c r="J7" i="37"/>
  <c r="AC7" i="37" s="1"/>
  <c r="V42" i="37" s="1"/>
  <c r="I42" i="37" s="1"/>
  <c r="Q61" i="74"/>
  <c r="Q74" i="74"/>
  <c r="F7" i="37"/>
  <c r="S7" i="37" s="1"/>
  <c r="Q62" i="74"/>
  <c r="Q75" i="74"/>
  <c r="J33" i="21"/>
  <c r="H33" i="21"/>
  <c r="F33" i="21"/>
  <c r="F26" i="44"/>
  <c r="C26" i="44" s="1"/>
  <c r="F24" i="74"/>
  <c r="J26" i="15"/>
  <c r="J29" i="15" s="1"/>
  <c r="C47" i="15"/>
  <c r="C65" i="15" s="1"/>
  <c r="J28" i="44"/>
  <c r="J31" i="44" s="1"/>
  <c r="Q58" i="44" s="1"/>
  <c r="C19" i="11"/>
  <c r="C20" i="11" s="1"/>
  <c r="C21" i="11" s="1"/>
  <c r="C22" i="11" s="1"/>
  <c r="C23" i="11" s="1"/>
  <c r="B2" i="11" s="1"/>
  <c r="B3" i="11" s="1"/>
  <c r="E27" i="6"/>
  <c r="AC6" i="3"/>
  <c r="U12" i="40"/>
  <c r="H6" i="3"/>
  <c r="W12" i="39"/>
  <c r="AC12" i="40"/>
  <c r="U12" i="39"/>
  <c r="AB12" i="39"/>
  <c r="AA12" i="40"/>
  <c r="F21" i="43"/>
  <c r="C23" i="43" s="1"/>
  <c r="D21" i="43" s="1"/>
  <c r="F26" i="12"/>
  <c r="C27" i="12" s="1"/>
  <c r="D26" i="12" s="1"/>
  <c r="C32" i="12" s="1"/>
  <c r="D30" i="12" s="1"/>
  <c r="F24" i="15"/>
  <c r="C24" i="15" s="1"/>
  <c r="H65" i="40"/>
  <c r="G67" i="40"/>
  <c r="H7" i="21"/>
  <c r="U7" i="21" s="1"/>
  <c r="I72" i="39"/>
  <c r="J70" i="39"/>
  <c r="Q69" i="44"/>
  <c r="L58" i="44"/>
  <c r="L61" i="44" s="1"/>
  <c r="L47" i="44" s="1"/>
  <c r="E39" i="46"/>
  <c r="G39" i="46"/>
  <c r="I39" i="46" s="1"/>
  <c r="J7" i="21"/>
  <c r="I42" i="35"/>
  <c r="J42" i="35" s="1"/>
  <c r="H58" i="33"/>
  <c r="G38" i="46"/>
  <c r="I38" i="46" s="1"/>
  <c r="E38" i="46"/>
  <c r="T21" i="59"/>
  <c r="D21" i="59"/>
  <c r="C30" i="46"/>
  <c r="E30" i="46" s="1"/>
  <c r="E29" i="46"/>
  <c r="E41" i="36"/>
  <c r="F41" i="36" s="1"/>
  <c r="E40" i="36"/>
  <c r="F40" i="36" s="1"/>
  <c r="E34" i="46"/>
  <c r="G34" i="46"/>
  <c r="I34" i="46" s="1"/>
  <c r="E33" i="46"/>
  <c r="G33" i="46"/>
  <c r="I33" i="46" s="1"/>
  <c r="M14" i="1"/>
  <c r="K16" i="1"/>
  <c r="E35" i="46"/>
  <c r="G35" i="46"/>
  <c r="I35" i="46" s="1"/>
  <c r="I41" i="36"/>
  <c r="J41" i="36" s="1"/>
  <c r="E54" i="34"/>
  <c r="F54" i="34" s="1"/>
  <c r="E53" i="34"/>
  <c r="F53" i="34" s="1"/>
  <c r="C37" i="36"/>
  <c r="B3" i="36" s="1"/>
  <c r="B2" i="36" s="1"/>
  <c r="C36" i="36"/>
  <c r="C38" i="15"/>
  <c r="AA7" i="21"/>
  <c r="S7" i="21"/>
  <c r="U7" i="35"/>
  <c r="AB7" i="35"/>
  <c r="T38" i="35" s="1"/>
  <c r="G38" i="35" s="1"/>
  <c r="R39" i="35"/>
  <c r="E38" i="35"/>
  <c r="I43" i="35" s="1"/>
  <c r="J43" i="35" s="1"/>
  <c r="G37" i="46"/>
  <c r="I37" i="46" s="1"/>
  <c r="E37" i="46"/>
  <c r="G36" i="46"/>
  <c r="I36" i="46" s="1"/>
  <c r="E36" i="46"/>
  <c r="I54" i="34"/>
  <c r="J54" i="34" s="1"/>
  <c r="C50" i="34"/>
  <c r="B3" i="34" s="1"/>
  <c r="B2" i="34" s="1"/>
  <c r="C49" i="34"/>
  <c r="D16" i="43"/>
  <c r="C16" i="43" s="1"/>
  <c r="L38" i="9"/>
  <c r="B14" i="66" s="1"/>
  <c r="B1" i="66" s="1"/>
  <c r="D16" i="12"/>
  <c r="D46" i="9"/>
  <c r="D10" i="11"/>
  <c r="E6" i="6"/>
  <c r="C21" i="4"/>
  <c r="O5" i="54" s="1"/>
  <c r="B45" i="63" s="1"/>
  <c r="D45" i="9"/>
  <c r="AY486" i="3"/>
  <c r="AY67" i="3"/>
  <c r="AY159" i="3"/>
  <c r="AY105" i="3"/>
  <c r="AY47" i="3"/>
  <c r="AY31" i="3"/>
  <c r="AY234" i="3"/>
  <c r="AY317" i="3"/>
  <c r="AY402" i="3"/>
  <c r="AY181" i="3"/>
  <c r="AY343" i="3"/>
  <c r="AY65" i="3"/>
  <c r="AY265" i="3"/>
  <c r="AY350" i="3"/>
  <c r="AY50" i="3"/>
  <c r="AY346" i="3"/>
  <c r="AY161" i="3"/>
  <c r="AY101" i="3"/>
  <c r="AY305" i="3"/>
  <c r="AY429" i="3"/>
  <c r="AY43" i="3"/>
  <c r="AY501" i="3"/>
  <c r="AY481" i="3"/>
  <c r="AY204" i="3"/>
  <c r="AY216" i="3"/>
  <c r="AY28" i="3"/>
  <c r="AY311" i="3"/>
  <c r="AY257" i="3"/>
  <c r="AY254" i="3"/>
  <c r="AY359" i="3"/>
  <c r="AY437" i="3"/>
  <c r="AY493" i="3"/>
  <c r="AY273" i="3"/>
  <c r="AY64" i="3"/>
  <c r="AY158" i="3"/>
  <c r="D3" i="6"/>
  <c r="AY37" i="3"/>
  <c r="AY203" i="3"/>
  <c r="AY95" i="3"/>
  <c r="AY83" i="3"/>
  <c r="AY45" i="3"/>
  <c r="AY277" i="3"/>
  <c r="AY384" i="3"/>
  <c r="AY425" i="3"/>
  <c r="AY202" i="3"/>
  <c r="AY286" i="3"/>
  <c r="AY398" i="3"/>
  <c r="AY169" i="3"/>
  <c r="AY348" i="3"/>
  <c r="AY72" i="3"/>
  <c r="AY241" i="3"/>
  <c r="AY30" i="3"/>
  <c r="AY542" i="3"/>
  <c r="AY382" i="3"/>
  <c r="AY555" i="3"/>
  <c r="AY143" i="3"/>
  <c r="AY308" i="3"/>
  <c r="AY236" i="3"/>
  <c r="AY52" i="3"/>
  <c r="AY246" i="3"/>
  <c r="AY408" i="3"/>
  <c r="AY374" i="3"/>
  <c r="AY183" i="3"/>
  <c r="AY25" i="3"/>
  <c r="AY197" i="3"/>
  <c r="AY321" i="3"/>
  <c r="BH6" i="3"/>
  <c r="AY431" i="3"/>
  <c r="AY526" i="3"/>
  <c r="AY34" i="3"/>
  <c r="AY309" i="3"/>
  <c r="AY176" i="3"/>
  <c r="AY44" i="3"/>
  <c r="AY318" i="3"/>
  <c r="AY561" i="3"/>
  <c r="AY22" i="3"/>
  <c r="AY406" i="3"/>
  <c r="AY127" i="3"/>
  <c r="AY407" i="3"/>
  <c r="AY140" i="3"/>
  <c r="AY461" i="3"/>
  <c r="AY66" i="3"/>
  <c r="AY186" i="3"/>
  <c r="AY222" i="3"/>
  <c r="AY540" i="3"/>
  <c r="AY505" i="3"/>
  <c r="AY563" i="3"/>
  <c r="AY357" i="3"/>
  <c r="AY84" i="3"/>
  <c r="AY436" i="3"/>
  <c r="AY192" i="3"/>
  <c r="AY410" i="3"/>
  <c r="AY512" i="3"/>
  <c r="AY125" i="3"/>
  <c r="AY362" i="3"/>
  <c r="AY252" i="3"/>
  <c r="AY260" i="3"/>
  <c r="AY228" i="3"/>
  <c r="AY566" i="3"/>
  <c r="AY568" i="3"/>
  <c r="AY54" i="3"/>
  <c r="AY312" i="3"/>
  <c r="AY134" i="3"/>
  <c r="BG6" i="3"/>
  <c r="AY165" i="3"/>
  <c r="AY255" i="3"/>
  <c r="AY354" i="3"/>
  <c r="AY121" i="3"/>
  <c r="AY88" i="3"/>
  <c r="AY87" i="3"/>
  <c r="AY26" i="3"/>
  <c r="AY104" i="3"/>
  <c r="AY144" i="3"/>
  <c r="AY217" i="3"/>
  <c r="AY361" i="3"/>
  <c r="AY49" i="3"/>
  <c r="AY214" i="3"/>
  <c r="AY39" i="3"/>
  <c r="AY294" i="3"/>
  <c r="AY548" i="3"/>
  <c r="AY464" i="3"/>
  <c r="AY302" i="3"/>
  <c r="AY279" i="3"/>
  <c r="AY278" i="3"/>
  <c r="AY543" i="3"/>
  <c r="AY124" i="3"/>
  <c r="AY92" i="3"/>
  <c r="AY556" i="3"/>
  <c r="AY271" i="3"/>
  <c r="AY335" i="3"/>
  <c r="AY424" i="3"/>
  <c r="AY229" i="3"/>
  <c r="AY320" i="3"/>
  <c r="BD6" i="3"/>
  <c r="AY75" i="3"/>
  <c r="AY443" i="3"/>
  <c r="AY365" i="3"/>
  <c r="AY288" i="3"/>
  <c r="AY249" i="3"/>
  <c r="AY380" i="3"/>
  <c r="BT6" i="3"/>
  <c r="AY531" i="3"/>
  <c r="AY500" i="3"/>
  <c r="AY415" i="3"/>
  <c r="AY519" i="3"/>
  <c r="AY480" i="3"/>
  <c r="AY163" i="3"/>
  <c r="AY375" i="3"/>
  <c r="AY63" i="3"/>
  <c r="AY497" i="3"/>
  <c r="AY60" i="3"/>
  <c r="AY276" i="3"/>
  <c r="AY267" i="3"/>
  <c r="AY418" i="3"/>
  <c r="AY490" i="3"/>
  <c r="AY213" i="3"/>
  <c r="AY270" i="3"/>
  <c r="AY469" i="3"/>
  <c r="AY423" i="3"/>
  <c r="AY507" i="3"/>
  <c r="BB6" i="3"/>
  <c r="AY345" i="3"/>
  <c r="AY59" i="3"/>
  <c r="AY419" i="3"/>
  <c r="AY462" i="3"/>
  <c r="AY570" i="3"/>
  <c r="AY180" i="3"/>
  <c r="AY441" i="3"/>
  <c r="AY80" i="3"/>
  <c r="AY198" i="3"/>
  <c r="AY504" i="3"/>
  <c r="AY126" i="3"/>
  <c r="AY262" i="3"/>
  <c r="AY467" i="3"/>
  <c r="AY55" i="3"/>
  <c r="AY379" i="3"/>
  <c r="AY70" i="3"/>
  <c r="AY310" i="3"/>
  <c r="AY62" i="3"/>
  <c r="AY435" i="3"/>
  <c r="AY340" i="3"/>
  <c r="AY307" i="3"/>
  <c r="AY188" i="3"/>
  <c r="AY572" i="3"/>
  <c r="AY449" i="3"/>
  <c r="AY36" i="3"/>
  <c r="AY432" i="3"/>
  <c r="AY304" i="3"/>
  <c r="AY337" i="3"/>
  <c r="AY394" i="3"/>
  <c r="AY14" i="3"/>
  <c r="AY86" i="3"/>
  <c r="AY494" i="3"/>
  <c r="AY145" i="3"/>
  <c r="AY409" i="3"/>
  <c r="AY356" i="3"/>
  <c r="AY206" i="3"/>
  <c r="AY283" i="3"/>
  <c r="AY413" i="3"/>
  <c r="AY151" i="3"/>
  <c r="AY32" i="3"/>
  <c r="AY518" i="3"/>
  <c r="AY527" i="3"/>
  <c r="AY553" i="3"/>
  <c r="AY417" i="3"/>
  <c r="AY153" i="3"/>
  <c r="AY328" i="3"/>
  <c r="AY220" i="3"/>
  <c r="AY108" i="3"/>
  <c r="AY133" i="3"/>
  <c r="AY401" i="3"/>
  <c r="AY557" i="3"/>
  <c r="AY393" i="3"/>
  <c r="AY547" i="3"/>
  <c r="AY334" i="3"/>
  <c r="BI6" i="3"/>
  <c r="BM6" i="3"/>
  <c r="AY499" i="3"/>
  <c r="AY564" i="3"/>
  <c r="AY513" i="3"/>
  <c r="AY237" i="3"/>
  <c r="AY284" i="3"/>
  <c r="AY102" i="3"/>
  <c r="AY196" i="3"/>
  <c r="AY167" i="3"/>
  <c r="AY474" i="3"/>
  <c r="AY535" i="3"/>
  <c r="AY69" i="3"/>
  <c r="AY129" i="3"/>
  <c r="AY537" i="3"/>
  <c r="AY98" i="3"/>
  <c r="AY291" i="3"/>
  <c r="AY448" i="3"/>
  <c r="AY170" i="3"/>
  <c r="AY324" i="3"/>
  <c r="AY178" i="3"/>
  <c r="AY366" i="3"/>
  <c r="AY168" i="3"/>
  <c r="AY389" i="3"/>
  <c r="AY342" i="3"/>
  <c r="AY16" i="3"/>
  <c r="BC6" i="3"/>
  <c r="AY352" i="3"/>
  <c r="AY525" i="3"/>
  <c r="AY274" i="3"/>
  <c r="AY411" i="3"/>
  <c r="AY445" i="3"/>
  <c r="AY558" i="3"/>
  <c r="AY85" i="3"/>
  <c r="AY430" i="3"/>
  <c r="AY27" i="3"/>
  <c r="AY510" i="3"/>
  <c r="AY259" i="3"/>
  <c r="AY392" i="3"/>
  <c r="AY329" i="3"/>
  <c r="AY371" i="3"/>
  <c r="AY367" i="3"/>
  <c r="AY184" i="3"/>
  <c r="AY221" i="3"/>
  <c r="AY388" i="3"/>
  <c r="AY552" i="3"/>
  <c r="BP6" i="3"/>
  <c r="AY546" i="3"/>
  <c r="AY78" i="3"/>
  <c r="AY351" i="3"/>
  <c r="AY15" i="3"/>
  <c r="AY483" i="3"/>
  <c r="AY68" i="3"/>
  <c r="AY235" i="3"/>
  <c r="AY538" i="3"/>
  <c r="AY395" i="3"/>
  <c r="AY339" i="3"/>
  <c r="AY93" i="3"/>
  <c r="AY468" i="3"/>
  <c r="AY205" i="3"/>
  <c r="AY514" i="3"/>
  <c r="AY539" i="3"/>
  <c r="AY300" i="3"/>
  <c r="AY61" i="3"/>
  <c r="AY353" i="3"/>
  <c r="AY533" i="3"/>
  <c r="AY261" i="3"/>
  <c r="AY551" i="3"/>
  <c r="AY466" i="3"/>
  <c r="BJ6" i="3"/>
  <c r="AY452" i="3"/>
  <c r="AY530" i="3"/>
  <c r="AY142" i="3"/>
  <c r="AY182" i="3"/>
  <c r="AY209" i="3"/>
  <c r="AY149" i="3"/>
  <c r="AY476" i="3"/>
  <c r="AY315" i="3"/>
  <c r="AY376" i="3"/>
  <c r="AY132" i="3"/>
  <c r="AY442" i="3"/>
  <c r="AY91" i="3"/>
  <c r="AY293" i="3"/>
  <c r="AY280" i="3"/>
  <c r="AY120" i="3"/>
  <c r="AY465" i="3"/>
  <c r="AY207" i="3"/>
  <c r="AY248" i="3"/>
  <c r="AY219" i="3"/>
  <c r="BA6" i="3"/>
  <c r="AY211" i="3"/>
  <c r="AY245" i="3"/>
  <c r="AY107" i="3"/>
  <c r="AY503" i="3"/>
  <c r="AY299" i="3"/>
  <c r="AY185" i="3"/>
  <c r="AY506" i="3"/>
  <c r="AY475" i="3"/>
  <c r="AY113" i="3"/>
  <c r="AY56" i="3"/>
  <c r="AY421" i="3"/>
  <c r="AY403" i="3"/>
  <c r="AY391" i="3"/>
  <c r="AY215" i="3"/>
  <c r="AY173" i="3"/>
  <c r="AY33" i="3"/>
  <c r="AY301" i="3"/>
  <c r="AY482" i="3"/>
  <c r="AY549" i="3"/>
  <c r="AY179" i="3"/>
  <c r="AY57" i="3"/>
  <c r="AY383" i="3"/>
  <c r="AY146" i="3"/>
  <c r="AY463" i="3"/>
  <c r="BK6" i="3"/>
  <c r="AY400" i="3"/>
  <c r="AY122" i="3"/>
  <c r="AY336" i="3"/>
  <c r="AY99" i="3"/>
  <c r="AY275" i="3"/>
  <c r="AY123" i="3"/>
  <c r="AY224" i="3"/>
  <c r="AY378" i="3"/>
  <c r="AY428" i="3"/>
  <c r="AY290" i="3"/>
  <c r="AY569" i="3"/>
  <c r="AY29" i="3"/>
  <c r="AY319" i="3"/>
  <c r="AY370" i="3"/>
  <c r="AY112" i="3"/>
  <c r="AY20" i="3"/>
  <c r="BF6" i="3"/>
  <c r="AY484" i="3"/>
  <c r="AY71" i="3"/>
  <c r="AY195" i="3"/>
  <c r="AY363" i="3"/>
  <c r="AY433" i="3"/>
  <c r="AY502" i="3"/>
  <c r="AY571" i="3"/>
  <c r="AY532" i="3"/>
  <c r="AY251" i="3"/>
  <c r="AY338" i="3"/>
  <c r="AY243" i="3"/>
  <c r="AY94" i="3"/>
  <c r="AY517" i="3"/>
  <c r="AY82" i="3"/>
  <c r="AY529" i="3"/>
  <c r="AY106" i="3"/>
  <c r="AY349" i="3"/>
  <c r="AY139" i="3"/>
  <c r="AY141" i="3"/>
  <c r="AY550" i="3"/>
  <c r="AY81" i="3"/>
  <c r="AY272" i="3"/>
  <c r="AY201" i="3"/>
  <c r="AY516" i="3"/>
  <c r="AY386" i="3"/>
  <c r="AY38" i="3"/>
  <c r="AY341" i="3"/>
  <c r="AY544" i="3"/>
  <c r="BL6" i="3"/>
  <c r="AY368" i="3"/>
  <c r="AY471" i="3"/>
  <c r="AY147" i="3"/>
  <c r="AY562" i="3"/>
  <c r="AY498" i="3"/>
  <c r="AY244" i="3"/>
  <c r="AY199" i="3"/>
  <c r="AY90" i="3"/>
  <c r="AY344" i="3"/>
  <c r="AY190" i="3"/>
  <c r="AY567" i="3"/>
  <c r="AY478" i="3"/>
  <c r="AY289" i="3"/>
  <c r="AY331" i="3"/>
  <c r="AY509" i="3"/>
  <c r="AY231" i="3"/>
  <c r="AY347" i="3"/>
  <c r="AY119" i="3"/>
  <c r="AY332" i="3"/>
  <c r="AY511" i="3"/>
  <c r="BE6" i="3"/>
  <c r="AY97" i="3"/>
  <c r="AY77" i="3"/>
  <c r="AY175" i="3"/>
  <c r="AY416" i="3"/>
  <c r="AY381" i="3"/>
  <c r="AY116" i="3"/>
  <c r="AY459" i="3"/>
  <c r="AY155" i="3"/>
  <c r="AY420" i="3"/>
  <c r="AY253" i="3"/>
  <c r="AY13" i="3"/>
  <c r="AY333" i="3"/>
  <c r="AY172" i="3"/>
  <c r="AY266" i="3"/>
  <c r="AY314" i="3"/>
  <c r="AY154" i="3"/>
  <c r="AY472" i="3"/>
  <c r="AY131" i="3"/>
  <c r="AY453" i="3"/>
  <c r="BQ6" i="3"/>
  <c r="AY137" i="3"/>
  <c r="AY458" i="3"/>
  <c r="AY242" i="3"/>
  <c r="AY385" i="3"/>
  <c r="AY355" i="3"/>
  <c r="AY285" i="3"/>
  <c r="AY40" i="3"/>
  <c r="AY189" i="3"/>
  <c r="AY210" i="3"/>
  <c r="AY377" i="3"/>
  <c r="AY177" i="3"/>
  <c r="AY18" i="3"/>
  <c r="AY451" i="3"/>
  <c r="AY444" i="3"/>
  <c r="AY473" i="3"/>
  <c r="AY439" i="3"/>
  <c r="AY292" i="3"/>
  <c r="AY41" i="3"/>
  <c r="AY100" i="3"/>
  <c r="AY136" i="3"/>
  <c r="AY427" i="3"/>
  <c r="AY250" i="3"/>
  <c r="AY135" i="3"/>
  <c r="AY115" i="3"/>
  <c r="AY295" i="3"/>
  <c r="AY457" i="3"/>
  <c r="AY157" i="3"/>
  <c r="AY103" i="3"/>
  <c r="AY414" i="3"/>
  <c r="AY200" i="3"/>
  <c r="AY369" i="3"/>
  <c r="AY193" i="3"/>
  <c r="AY42" i="3"/>
  <c r="AY96" i="3"/>
  <c r="AY148" i="3"/>
  <c r="AY446" i="3"/>
  <c r="AY396" i="3"/>
  <c r="AY239" i="3"/>
  <c r="AY152" i="3"/>
  <c r="AY208" i="3"/>
  <c r="AY447" i="3"/>
  <c r="AY559" i="3"/>
  <c r="AY240" i="3"/>
  <c r="AY281" i="3"/>
  <c r="AY387" i="3"/>
  <c r="AY313" i="3"/>
  <c r="AY110" i="3"/>
  <c r="AY454" i="3"/>
  <c r="AY48" i="3"/>
  <c r="AY23" i="3"/>
  <c r="AY522" i="3"/>
  <c r="AY426" i="3"/>
  <c r="AY496" i="3"/>
  <c r="AY491" i="3"/>
  <c r="AY109" i="3"/>
  <c r="AY53" i="3"/>
  <c r="AY118" i="3"/>
  <c r="AY397" i="3"/>
  <c r="AY364" i="3"/>
  <c r="AY258" i="3"/>
  <c r="AY269" i="3"/>
  <c r="AY230" i="3"/>
  <c r="AY405" i="3"/>
  <c r="AY330" i="3"/>
  <c r="AY21" i="3"/>
  <c r="AY187" i="3"/>
  <c r="AY227" i="3"/>
  <c r="AY76" i="3"/>
  <c r="AY24" i="3"/>
  <c r="AY160" i="3"/>
  <c r="AY46" i="3"/>
  <c r="AY138" i="3"/>
  <c r="AY166" i="3"/>
  <c r="AY323" i="3"/>
  <c r="AY456" i="3"/>
  <c r="AY247" i="3"/>
  <c r="AY325" i="3"/>
  <c r="AY390" i="3"/>
  <c r="AY17" i="3"/>
  <c r="AY440" i="3"/>
  <c r="AY495" i="3"/>
  <c r="AY545" i="3"/>
  <c r="AY455" i="3"/>
  <c r="AY298" i="3"/>
  <c r="AY554" i="3"/>
  <c r="AY212" i="3"/>
  <c r="AY296" i="3"/>
  <c r="AY79" i="3"/>
  <c r="AY373" i="3"/>
  <c r="AY536" i="3"/>
  <c r="AY523" i="3"/>
  <c r="AY58" i="3"/>
  <c r="AY73" i="3"/>
  <c r="AY264" i="3"/>
  <c r="AY422" i="3"/>
  <c r="AY326" i="3"/>
  <c r="AY238" i="3"/>
  <c r="AY226" i="3"/>
  <c r="AY450" i="3"/>
  <c r="AY438" i="3"/>
  <c r="AY35" i="3"/>
  <c r="AY191" i="3"/>
  <c r="AY117" i="3"/>
  <c r="BS6" i="3"/>
  <c r="AY156" i="3"/>
  <c r="AY268" i="3"/>
  <c r="AY515" i="3"/>
  <c r="AY171" i="3"/>
  <c r="AY316" i="3"/>
  <c r="AY162" i="3"/>
  <c r="AY303" i="3"/>
  <c r="AY485" i="3"/>
  <c r="AY399" i="3"/>
  <c r="AY174" i="3"/>
  <c r="AY358" i="3"/>
  <c r="AY223" i="3"/>
  <c r="AY404" i="3"/>
  <c r="AY534" i="3"/>
  <c r="AY434" i="3"/>
  <c r="AY130" i="3"/>
  <c r="AY487" i="3"/>
  <c r="AY263" i="3"/>
  <c r="AY19" i="3"/>
  <c r="AY470" i="3"/>
  <c r="AY89" i="3"/>
  <c r="AY51" i="3"/>
  <c r="AY521" i="3"/>
  <c r="AY508" i="3"/>
  <c r="AY560" i="3"/>
  <c r="AY111" i="3"/>
  <c r="AY565" i="3"/>
  <c r="AY297" i="3"/>
  <c r="AY372" i="3"/>
  <c r="AY282" i="3"/>
  <c r="AY489" i="3"/>
  <c r="AY164" i="3"/>
  <c r="AY256" i="3"/>
  <c r="BN6" i="3"/>
  <c r="AY287" i="3"/>
  <c r="AY524" i="3"/>
  <c r="AY194" i="3"/>
  <c r="AY218" i="3"/>
  <c r="AY492" i="3"/>
  <c r="AY488" i="3"/>
  <c r="AY128" i="3"/>
  <c r="AY412" i="3"/>
  <c r="AY233" i="3"/>
  <c r="BR6" i="3"/>
  <c r="AY460" i="3"/>
  <c r="AY114" i="3"/>
  <c r="BO6" i="3"/>
  <c r="AY74" i="3"/>
  <c r="AY528" i="3"/>
  <c r="AY520" i="3"/>
  <c r="AY327" i="3"/>
  <c r="AY306" i="3"/>
  <c r="AY232" i="3"/>
  <c r="AY150" i="3"/>
  <c r="AY225" i="3"/>
  <c r="AY322" i="3"/>
  <c r="AY541" i="3"/>
  <c r="AY479" i="3"/>
  <c r="AY360" i="3"/>
  <c r="AY477" i="3"/>
  <c r="AE10" i="1"/>
  <c r="F7" i="67"/>
  <c r="W7" i="37" l="1"/>
  <c r="AA7" i="37"/>
  <c r="R42" i="37" s="1"/>
  <c r="C8" i="59"/>
  <c r="D9" i="59"/>
  <c r="T9" i="59"/>
  <c r="C60" i="74"/>
  <c r="C65" i="74"/>
  <c r="J26" i="74"/>
  <c r="U7" i="37"/>
  <c r="AA33" i="21"/>
  <c r="R48" i="21" s="1"/>
  <c r="E48" i="21" s="1"/>
  <c r="S33" i="21"/>
  <c r="U33" i="21"/>
  <c r="AB33" i="21"/>
  <c r="W33" i="21"/>
  <c r="AC33" i="21"/>
  <c r="C24" i="74"/>
  <c r="C59" i="15"/>
  <c r="Q49" i="44"/>
  <c r="Q55" i="44" s="1"/>
  <c r="Q67" i="44"/>
  <c r="K19" i="6"/>
  <c r="K24" i="6"/>
  <c r="M24" i="6" s="1"/>
  <c r="I24" i="6" s="1"/>
  <c r="S24" i="6" s="1"/>
  <c r="K21" i="6"/>
  <c r="K23" i="6"/>
  <c r="M23" i="6" s="1"/>
  <c r="I23" i="6" s="1"/>
  <c r="S23" i="6" s="1"/>
  <c r="K26" i="6"/>
  <c r="M26" i="6" s="1"/>
  <c r="I26" i="6" s="1"/>
  <c r="S26" i="6" s="1"/>
  <c r="K20" i="6"/>
  <c r="K22" i="6"/>
  <c r="K25" i="6"/>
  <c r="M25" i="6" s="1"/>
  <c r="I25" i="6" s="1"/>
  <c r="S25" i="6" s="1"/>
  <c r="E31" i="6"/>
  <c r="E6" i="3"/>
  <c r="J72" i="39"/>
  <c r="K70" i="39"/>
  <c r="AB7" i="21"/>
  <c r="H67" i="40"/>
  <c r="I65" i="40"/>
  <c r="C27" i="46"/>
  <c r="E4" i="67"/>
  <c r="D25" i="6"/>
  <c r="D28" i="6"/>
  <c r="K38" i="9"/>
  <c r="C14" i="66" s="1"/>
  <c r="B2" i="66" s="1"/>
  <c r="D12" i="6"/>
  <c r="D21" i="6"/>
  <c r="D20" i="6"/>
  <c r="D9" i="6"/>
  <c r="D13" i="6"/>
  <c r="E45" i="9"/>
  <c r="D22" i="6"/>
  <c r="F45" i="9"/>
  <c r="D11" i="6"/>
  <c r="F46" i="9"/>
  <c r="E46" i="9"/>
  <c r="D6" i="6"/>
  <c r="E68" i="39"/>
  <c r="E63" i="40"/>
  <c r="D23" i="6"/>
  <c r="D5" i="6"/>
  <c r="C22" i="4"/>
  <c r="D14" i="6"/>
  <c r="D24" i="6"/>
  <c r="D29" i="6"/>
  <c r="D19" i="6"/>
  <c r="D8" i="6"/>
  <c r="D26" i="6"/>
  <c r="D10" i="6"/>
  <c r="D15" i="6"/>
  <c r="D13" i="11"/>
  <c r="C13" i="11" s="1"/>
  <c r="D22" i="12"/>
  <c r="C22" i="12" s="1"/>
  <c r="C20" i="12" s="1"/>
  <c r="M16" i="1"/>
  <c r="O14" i="1"/>
  <c r="O16" i="1" s="1"/>
  <c r="E43" i="35"/>
  <c r="F43" i="35" s="1"/>
  <c r="E42" i="35"/>
  <c r="F42" i="35" s="1"/>
  <c r="R43" i="37"/>
  <c r="E42" i="37"/>
  <c r="I47" i="37" s="1"/>
  <c r="J47" i="37" s="1"/>
  <c r="C16" i="12"/>
  <c r="D19" i="12"/>
  <c r="C19" i="12" s="1"/>
  <c r="G43" i="35"/>
  <c r="H43" i="35" s="1"/>
  <c r="G42" i="35"/>
  <c r="H42" i="35" s="1"/>
  <c r="C38" i="35"/>
  <c r="C39" i="35"/>
  <c r="B3" i="35" s="1"/>
  <c r="B2" i="35" s="1"/>
  <c r="B5" i="11"/>
  <c r="C8" i="66"/>
  <c r="C7" i="66"/>
  <c r="G46" i="37"/>
  <c r="H46" i="37" s="1"/>
  <c r="G47" i="37"/>
  <c r="H47" i="37" s="1"/>
  <c r="B4" i="11"/>
  <c r="I46" i="37"/>
  <c r="J46" i="37" s="1"/>
  <c r="W7" i="21"/>
  <c r="AC7" i="21"/>
  <c r="Q68" i="44"/>
  <c r="Q59" i="44"/>
  <c r="Q64" i="44" s="1"/>
  <c r="C26" i="46"/>
  <c r="I58" i="33"/>
  <c r="E7" i="67"/>
  <c r="F41" i="74"/>
  <c r="C7" i="59" l="1"/>
  <c r="D8" i="59"/>
  <c r="T48" i="21"/>
  <c r="G48" i="21" s="1"/>
  <c r="G52" i="21" s="1"/>
  <c r="H52" i="21" s="1"/>
  <c r="F68" i="74"/>
  <c r="J29" i="74"/>
  <c r="V48" i="21"/>
  <c r="I48" i="21" s="1"/>
  <c r="I53" i="21" s="1"/>
  <c r="J53" i="21" s="1"/>
  <c r="S11" i="1"/>
  <c r="S13" i="1"/>
  <c r="S10" i="1"/>
  <c r="S12" i="1"/>
  <c r="Q77" i="44"/>
  <c r="M22" i="6"/>
  <c r="I22" i="6" s="1"/>
  <c r="S22" i="6" s="1"/>
  <c r="S9" i="1"/>
  <c r="M20" i="6"/>
  <c r="I20" i="6" s="1"/>
  <c r="S20" i="6" s="1"/>
  <c r="S7" i="1"/>
  <c r="M21" i="6"/>
  <c r="I21" i="6" s="1"/>
  <c r="S21" i="6" s="1"/>
  <c r="S8" i="1"/>
  <c r="H26" i="6"/>
  <c r="R26" i="6" s="1"/>
  <c r="H25" i="6"/>
  <c r="R25" i="6" s="1"/>
  <c r="H23" i="6"/>
  <c r="R23" i="6" s="1"/>
  <c r="H24" i="6"/>
  <c r="R24" i="6" s="1"/>
  <c r="S6" i="1"/>
  <c r="M19" i="6"/>
  <c r="K27" i="6"/>
  <c r="D30" i="6"/>
  <c r="D16" i="6"/>
  <c r="I67" i="40"/>
  <c r="J65" i="40"/>
  <c r="L70" i="39"/>
  <c r="K72" i="39"/>
  <c r="E3" i="67"/>
  <c r="D8" i="66"/>
  <c r="D7" i="66"/>
  <c r="A6" i="51"/>
  <c r="B7" i="63" s="1"/>
  <c r="A20" i="51"/>
  <c r="B15" i="63" s="1"/>
  <c r="A6" i="64"/>
  <c r="N5" i="54"/>
  <c r="B43" i="63" s="1"/>
  <c r="A20" i="64"/>
  <c r="E52" i="21"/>
  <c r="F52" i="21" s="1"/>
  <c r="J58" i="33"/>
  <c r="B2" i="46"/>
  <c r="D27" i="6"/>
  <c r="E46" i="37"/>
  <c r="F46" i="37" s="1"/>
  <c r="E47" i="37"/>
  <c r="F47" i="37" s="1"/>
  <c r="C43" i="37"/>
  <c r="B3" i="37" s="1"/>
  <c r="B2" i="37" s="1"/>
  <c r="C42" i="37"/>
  <c r="C13" i="43"/>
  <c r="N16" i="1"/>
  <c r="C29" i="43" s="1"/>
  <c r="L16" i="1"/>
  <c r="P14" i="1"/>
  <c r="P16" i="1" s="1"/>
  <c r="C13" i="12" s="1"/>
  <c r="C17" i="15"/>
  <c r="C17" i="74"/>
  <c r="B7" i="67"/>
  <c r="C19" i="44"/>
  <c r="C6" i="59" l="1"/>
  <c r="D7" i="59"/>
  <c r="E53" i="21"/>
  <c r="F53" i="21" s="1"/>
  <c r="R49" i="21"/>
  <c r="C48" i="21" s="1"/>
  <c r="G53" i="21"/>
  <c r="H53" i="21" s="1"/>
  <c r="I52" i="21"/>
  <c r="J52" i="21" s="1"/>
  <c r="H21" i="6"/>
  <c r="R21" i="6" s="1"/>
  <c r="H22" i="6"/>
  <c r="R22" i="6" s="1"/>
  <c r="H20" i="6"/>
  <c r="R20" i="6" s="1"/>
  <c r="I19" i="6"/>
  <c r="M27" i="6"/>
  <c r="S16" i="1"/>
  <c r="T6" i="1" s="1"/>
  <c r="D31" i="6"/>
  <c r="I6" i="6" s="1"/>
  <c r="C13" i="39" s="1"/>
  <c r="L72" i="39"/>
  <c r="M70" i="39"/>
  <c r="K65" i="40"/>
  <c r="J67" i="40"/>
  <c r="B2" i="67"/>
  <c r="K58" i="33"/>
  <c r="B3" i="46"/>
  <c r="B4" i="46"/>
  <c r="D4" i="46"/>
  <c r="C17" i="43"/>
  <c r="C14" i="43"/>
  <c r="C17" i="12"/>
  <c r="C14" i="12"/>
  <c r="C5" i="59" l="1"/>
  <c r="D6" i="59"/>
  <c r="C49" i="21"/>
  <c r="B3" i="21" s="1"/>
  <c r="T9" i="1"/>
  <c r="T10" i="1"/>
  <c r="T11" i="1"/>
  <c r="T12" i="1"/>
  <c r="T13" i="1"/>
  <c r="T8" i="1"/>
  <c r="T7" i="1"/>
  <c r="I27" i="6"/>
  <c r="H19" i="6"/>
  <c r="S19" i="6"/>
  <c r="S27" i="6" s="1"/>
  <c r="I5" i="6"/>
  <c r="H13" i="39"/>
  <c r="F13" i="39"/>
  <c r="J13" i="39"/>
  <c r="K67" i="40"/>
  <c r="L65" i="40"/>
  <c r="N70" i="39"/>
  <c r="N72" i="39" s="1"/>
  <c r="F9" i="39" s="1"/>
  <c r="M72" i="39"/>
  <c r="C18" i="43"/>
  <c r="C19" i="43" s="1"/>
  <c r="C18" i="12"/>
  <c r="C23" i="12" s="1"/>
  <c r="L58" i="33"/>
  <c r="M58" i="33" s="1"/>
  <c r="N58" i="33" s="1"/>
  <c r="O58" i="33" s="1"/>
  <c r="H7" i="33"/>
  <c r="B4" i="67"/>
  <c r="B3" i="67"/>
  <c r="C14" i="15"/>
  <c r="C14" i="74"/>
  <c r="C16" i="44"/>
  <c r="D5" i="59" l="1"/>
  <c r="M20" i="46"/>
  <c r="C8" i="12"/>
  <c r="B2" i="21"/>
  <c r="C10" i="12" s="1"/>
  <c r="C18" i="74"/>
  <c r="C15" i="74"/>
  <c r="C20" i="44"/>
  <c r="C17" i="44"/>
  <c r="C18" i="15"/>
  <c r="C15" i="15"/>
  <c r="H27" i="6"/>
  <c r="R19" i="6"/>
  <c r="T16" i="1"/>
  <c r="AC13" i="39"/>
  <c r="W13" i="39"/>
  <c r="AA13" i="39"/>
  <c r="S13" i="39"/>
  <c r="AB13" i="39"/>
  <c r="U13" i="39"/>
  <c r="J9" i="39"/>
  <c r="H9" i="39"/>
  <c r="AA9" i="39"/>
  <c r="S9" i="39"/>
  <c r="M65" i="40"/>
  <c r="L67" i="40"/>
  <c r="C25" i="43"/>
  <c r="C24" i="43" s="1"/>
  <c r="C22" i="43"/>
  <c r="C21" i="43" s="1"/>
  <c r="AB7" i="33"/>
  <c r="T48" i="33" s="1"/>
  <c r="G48" i="33" s="1"/>
  <c r="U7" i="33"/>
  <c r="F7" i="33"/>
  <c r="J7" i="33"/>
  <c r="C19" i="74" l="1"/>
  <c r="C20" i="74" s="1"/>
  <c r="R12" i="1"/>
  <c r="R11" i="1"/>
  <c r="R13" i="1"/>
  <c r="R10" i="1"/>
  <c r="C21" i="44"/>
  <c r="C22" i="44" s="1"/>
  <c r="C25" i="44" s="1"/>
  <c r="R7" i="1"/>
  <c r="R8" i="1"/>
  <c r="R9" i="1"/>
  <c r="C19" i="15"/>
  <c r="R6" i="1"/>
  <c r="R27" i="6"/>
  <c r="R49" i="39"/>
  <c r="E49" i="39" s="1"/>
  <c r="N65" i="40"/>
  <c r="N67" i="40" s="1"/>
  <c r="F9" i="40" s="1"/>
  <c r="M67" i="40"/>
  <c r="U9" i="39"/>
  <c r="AB9" i="39"/>
  <c r="T49" i="39" s="1"/>
  <c r="G49" i="39" s="1"/>
  <c r="W9" i="39"/>
  <c r="AC9" i="39"/>
  <c r="V49" i="39" s="1"/>
  <c r="I49" i="39" s="1"/>
  <c r="I53" i="39" s="1"/>
  <c r="J53" i="39" s="1"/>
  <c r="C28" i="43"/>
  <c r="C30" i="43" s="1"/>
  <c r="C32" i="43" s="1"/>
  <c r="B2" i="43" s="1"/>
  <c r="B4" i="43" s="1"/>
  <c r="G52" i="33"/>
  <c r="H52" i="33" s="1"/>
  <c r="W7" i="33"/>
  <c r="AC7" i="33"/>
  <c r="V48" i="33" s="1"/>
  <c r="I48" i="33" s="1"/>
  <c r="S7" i="33"/>
  <c r="AA7" i="33"/>
  <c r="R48" i="33" s="1"/>
  <c r="F35" i="15"/>
  <c r="M21" i="74"/>
  <c r="F37" i="44"/>
  <c r="F35" i="74"/>
  <c r="M21" i="15"/>
  <c r="M23" i="44"/>
  <c r="J20" i="74" l="1"/>
  <c r="F62" i="74"/>
  <c r="C61" i="74" s="1"/>
  <c r="C58" i="74" s="1"/>
  <c r="C34" i="74"/>
  <c r="C31" i="74" s="1"/>
  <c r="C26" i="74"/>
  <c r="C23" i="74"/>
  <c r="C34" i="15"/>
  <c r="F62" i="15"/>
  <c r="C61" i="15" s="1"/>
  <c r="J22" i="44"/>
  <c r="C36" i="44"/>
  <c r="J20" i="15"/>
  <c r="C28" i="44"/>
  <c r="C31" i="44" s="1"/>
  <c r="C35" i="44" s="1"/>
  <c r="R16" i="1"/>
  <c r="C20" i="15"/>
  <c r="C26" i="15" s="1"/>
  <c r="R50" i="39"/>
  <c r="C50" i="39" s="1"/>
  <c r="G53" i="39"/>
  <c r="H53" i="39" s="1"/>
  <c r="G54" i="39"/>
  <c r="H54" i="39" s="1"/>
  <c r="I54" i="39"/>
  <c r="J54" i="39" s="1"/>
  <c r="E54" i="39"/>
  <c r="F54" i="39" s="1"/>
  <c r="E53" i="39"/>
  <c r="F53" i="39" s="1"/>
  <c r="J9" i="40"/>
  <c r="H9" i="40"/>
  <c r="S9" i="40"/>
  <c r="AA9" i="40"/>
  <c r="R44" i="40" s="1"/>
  <c r="B3" i="43"/>
  <c r="B5" i="43"/>
  <c r="I52" i="33"/>
  <c r="J52" i="33" s="1"/>
  <c r="G53" i="33"/>
  <c r="H53" i="33" s="1"/>
  <c r="R49" i="33"/>
  <c r="E48" i="33"/>
  <c r="I53" i="33" s="1"/>
  <c r="J53" i="33" s="1"/>
  <c r="C29" i="74" l="1"/>
  <c r="C33" i="44"/>
  <c r="C15" i="44"/>
  <c r="Q72" i="44" s="1"/>
  <c r="J16" i="44"/>
  <c r="J24" i="44" s="1"/>
  <c r="C38" i="44"/>
  <c r="J21" i="44"/>
  <c r="J19" i="44" s="1"/>
  <c r="Q51" i="44"/>
  <c r="C23" i="15"/>
  <c r="C29" i="15" s="1"/>
  <c r="C49" i="39"/>
  <c r="AC9" i="40"/>
  <c r="V44" i="40" s="1"/>
  <c r="I44" i="40" s="1"/>
  <c r="W9" i="40"/>
  <c r="B65" i="39"/>
  <c r="F65" i="39" s="1"/>
  <c r="B66" i="39"/>
  <c r="F66" i="39" s="1"/>
  <c r="B60" i="39"/>
  <c r="F60" i="39" s="1"/>
  <c r="B64" i="39"/>
  <c r="F64" i="39" s="1"/>
  <c r="B58" i="39"/>
  <c r="F58" i="39" s="1"/>
  <c r="B67" i="39"/>
  <c r="F67" i="39" s="1"/>
  <c r="B59" i="39"/>
  <c r="F59" i="39" s="1"/>
  <c r="B63" i="39"/>
  <c r="F63" i="39" s="1"/>
  <c r="B62" i="39"/>
  <c r="F62" i="39" s="1"/>
  <c r="B61" i="39"/>
  <c r="F61" i="39" s="1"/>
  <c r="R45" i="40"/>
  <c r="E44" i="40"/>
  <c r="U9" i="40"/>
  <c r="AB9" i="40"/>
  <c r="T44" i="40" s="1"/>
  <c r="G44" i="40" s="1"/>
  <c r="C49" i="33"/>
  <c r="B3" i="33" s="1"/>
  <c r="B2" i="33" s="1"/>
  <c r="C48" i="33"/>
  <c r="E52" i="33"/>
  <c r="F52" i="33" s="1"/>
  <c r="E53" i="33"/>
  <c r="F53" i="33" s="1"/>
  <c r="Q50" i="74" l="1"/>
  <c r="C56" i="74"/>
  <c r="C63" i="74" s="1"/>
  <c r="J19" i="74"/>
  <c r="J17" i="74" s="1"/>
  <c r="C13" i="74"/>
  <c r="C36" i="74"/>
  <c r="J14" i="74"/>
  <c r="J15" i="44"/>
  <c r="J25" i="44" s="1"/>
  <c r="J18" i="44" s="1"/>
  <c r="J27" i="44" s="1"/>
  <c r="C43" i="44"/>
  <c r="C39" i="44"/>
  <c r="C32" i="44" s="1"/>
  <c r="C42" i="44" s="1"/>
  <c r="Q71" i="44" s="1"/>
  <c r="Q70" i="44" s="1"/>
  <c r="C13" i="15"/>
  <c r="J14" i="15"/>
  <c r="J59" i="15"/>
  <c r="J60" i="15" s="1"/>
  <c r="Q50" i="15"/>
  <c r="J19" i="15"/>
  <c r="J17" i="15" s="1"/>
  <c r="C56" i="15"/>
  <c r="C36" i="15"/>
  <c r="C33" i="15"/>
  <c r="C31" i="15" s="1"/>
  <c r="F68" i="39"/>
  <c r="B2" i="39" s="1"/>
  <c r="B4" i="39" s="1"/>
  <c r="C45" i="40"/>
  <c r="C44" i="40"/>
  <c r="E49" i="40"/>
  <c r="F49" i="40" s="1"/>
  <c r="E48" i="40"/>
  <c r="F48" i="40" s="1"/>
  <c r="G48" i="40"/>
  <c r="H48" i="40" s="1"/>
  <c r="G49" i="40"/>
  <c r="H49" i="40" s="1"/>
  <c r="I48" i="40"/>
  <c r="J48" i="40" s="1"/>
  <c r="I49" i="40"/>
  <c r="J49" i="40" s="1"/>
  <c r="C21" i="9"/>
  <c r="C19" i="9"/>
  <c r="K21" i="9" l="1"/>
  <c r="J13" i="74"/>
  <c r="J23" i="74" s="1"/>
  <c r="J22" i="74"/>
  <c r="C37" i="74"/>
  <c r="C30" i="74" s="1"/>
  <c r="C39" i="74" s="1"/>
  <c r="C55" i="74"/>
  <c r="C64" i="74" s="1"/>
  <c r="C57" i="74" s="1"/>
  <c r="C66" i="74" s="1"/>
  <c r="C67" i="74" s="1"/>
  <c r="Q71" i="74"/>
  <c r="J35" i="74"/>
  <c r="C44" i="44"/>
  <c r="C45" i="44" s="1"/>
  <c r="B2" i="44" s="1"/>
  <c r="B4" i="44" s="1"/>
  <c r="Q49" i="15"/>
  <c r="J22" i="15"/>
  <c r="J13" i="15"/>
  <c r="J23" i="15" s="1"/>
  <c r="C63" i="15"/>
  <c r="C60" i="15"/>
  <c r="C58" i="15" s="1"/>
  <c r="C55" i="15"/>
  <c r="C64" i="15" s="1"/>
  <c r="C37" i="15"/>
  <c r="C30" i="15" s="1"/>
  <c r="C39" i="15" s="1"/>
  <c r="J35" i="15"/>
  <c r="Q71" i="15"/>
  <c r="L43" i="9"/>
  <c r="B5" i="39"/>
  <c r="B3" i="39"/>
  <c r="B56" i="40"/>
  <c r="F56" i="40" s="1"/>
  <c r="B53" i="40"/>
  <c r="F53" i="40" s="1"/>
  <c r="B58" i="40"/>
  <c r="F58" i="40" s="1"/>
  <c r="B60" i="40"/>
  <c r="F60" i="40" s="1"/>
  <c r="B61" i="40"/>
  <c r="F61" i="40" s="1"/>
  <c r="B57" i="40"/>
  <c r="F57" i="40" s="1"/>
  <c r="B55" i="40"/>
  <c r="F55" i="40" s="1"/>
  <c r="B59" i="40"/>
  <c r="F59" i="40" s="1"/>
  <c r="F63" i="40"/>
  <c r="B2" i="40" s="1"/>
  <c r="B54" i="40"/>
  <c r="F54" i="40" s="1"/>
  <c r="B62" i="40"/>
  <c r="F62" i="40" s="1"/>
  <c r="C20" i="9"/>
  <c r="L51" i="74"/>
  <c r="L51" i="15"/>
  <c r="H38" i="74" l="1"/>
  <c r="J39" i="74"/>
  <c r="J40" i="74" s="1"/>
  <c r="Q68" i="74"/>
  <c r="C70" i="74"/>
  <c r="Q70" i="74"/>
  <c r="Q69" i="74" s="1"/>
  <c r="C40" i="74"/>
  <c r="J16" i="74"/>
  <c r="J25" i="74" s="1"/>
  <c r="B5" i="44"/>
  <c r="B3" i="44"/>
  <c r="J39" i="15"/>
  <c r="J40" i="15" s="1"/>
  <c r="C57" i="15"/>
  <c r="C66" i="15" s="1"/>
  <c r="C67" i="15" s="1"/>
  <c r="C70" i="15" s="1"/>
  <c r="J16" i="15"/>
  <c r="J25" i="15" s="1"/>
  <c r="Q68" i="15"/>
  <c r="L57" i="15"/>
  <c r="L60" i="15" s="1"/>
  <c r="L46" i="15" s="1"/>
  <c r="C40" i="15"/>
  <c r="Q70" i="15"/>
  <c r="Q69" i="15" s="1"/>
  <c r="B3" i="40"/>
  <c r="B4" i="40"/>
  <c r="B5" i="40"/>
  <c r="B2" i="74" l="1"/>
  <c r="C43" i="74"/>
  <c r="Q66" i="74"/>
  <c r="Q76" i="74" s="1"/>
  <c r="Q57" i="74"/>
  <c r="Q63" i="74" s="1"/>
  <c r="J42" i="74"/>
  <c r="J43" i="74" s="1"/>
  <c r="Q48" i="74"/>
  <c r="Q54" i="74" s="1"/>
  <c r="C46" i="74"/>
  <c r="C46" i="15"/>
  <c r="J42" i="15"/>
  <c r="J43" i="15" s="1"/>
  <c r="B2" i="15"/>
  <c r="C43" i="15"/>
  <c r="Q57" i="15"/>
  <c r="Q48" i="15"/>
  <c r="Q54" i="15" s="1"/>
  <c r="Q66" i="15"/>
  <c r="Q58" i="15"/>
  <c r="Q67" i="15"/>
  <c r="E10" i="12" l="1"/>
  <c r="B3" i="74"/>
  <c r="F10" i="12"/>
  <c r="L10" i="12" s="1"/>
  <c r="B3" i="15"/>
  <c r="Q63" i="15"/>
  <c r="Q76" i="15"/>
  <c r="F8" i="12" l="1"/>
  <c r="E8" i="12"/>
  <c r="C6" i="12" l="1"/>
  <c r="C24" i="12" s="1"/>
  <c r="C28" i="12" s="1"/>
  <c r="C26" i="12" s="1"/>
  <c r="AC21" i="68"/>
  <c r="AC16" i="68" s="1"/>
  <c r="AC17" i="68" l="1"/>
  <c r="AC18" i="68"/>
  <c r="C29" i="12"/>
  <c r="C31" i="12" s="1"/>
  <c r="C30" i="12" s="1"/>
  <c r="C35" i="12"/>
  <c r="C33" i="12" s="1"/>
  <c r="AC19" i="68" l="1"/>
  <c r="C36" i="12"/>
  <c r="B2" i="12" s="1"/>
  <c r="D19" i="9"/>
  <c r="B3" i="12" l="1"/>
  <c r="L6" i="12"/>
  <c r="L21" i="9"/>
  <c r="B4" i="12"/>
  <c r="AC20" i="68"/>
  <c r="B5" i="12"/>
  <c r="D22" i="9"/>
  <c r="G19" i="9"/>
  <c r="L44" i="9"/>
  <c r="D20" i="9"/>
  <c r="D21" i="9"/>
  <c r="G22" i="9" l="1"/>
  <c r="M6" i="12"/>
  <c r="G20" i="9"/>
  <c r="N43" i="9"/>
  <c r="G21" i="9"/>
  <c r="C32" i="9"/>
  <c r="O43" i="9" s="1"/>
  <c r="C35" i="9" l="1"/>
  <c r="F42" i="9" s="1"/>
  <c r="O38" i="9"/>
  <c r="K26" i="9" s="1"/>
  <c r="C33" i="9"/>
  <c r="N38" i="9" s="1"/>
  <c r="K28" i="9" s="1"/>
  <c r="C42" i="9"/>
  <c r="N68" i="9" s="1"/>
  <c r="C34" i="9"/>
  <c r="E42" i="9" s="1"/>
  <c r="P5" i="54" s="1"/>
  <c r="B46" i="63" s="1"/>
  <c r="M38" i="9" l="1"/>
  <c r="K27" i="9" s="1"/>
  <c r="D42" i="9"/>
  <c r="Q5" i="54" s="1"/>
  <c r="B47" i="63" s="1"/>
  <c r="K25" i="9"/>
  <c r="D63" i="9"/>
  <c r="C111" i="9" s="1"/>
  <c r="C104" i="9" s="1"/>
  <c r="C44" i="9"/>
  <c r="D44" i="9" s="1"/>
  <c r="R5" i="54"/>
  <c r="B48" i="63" s="1"/>
  <c r="D14" i="66"/>
  <c r="F14" i="66" s="1"/>
  <c r="C90" i="9" l="1"/>
  <c r="E44" i="9"/>
  <c r="O39" i="9"/>
  <c r="R6" i="54" s="1"/>
  <c r="B50" i="63" s="1"/>
  <c r="C82" i="9"/>
  <c r="C81" i="9" s="1"/>
  <c r="C85" i="9" s="1"/>
  <c r="C86" i="9" s="1"/>
  <c r="D72" i="9" s="1"/>
  <c r="G14" i="66"/>
  <c r="B6" i="66" s="1"/>
  <c r="D6" i="66" s="1"/>
  <c r="F44" i="9"/>
  <c r="C103" i="9"/>
  <c r="C113" i="9" s="1"/>
  <c r="C114" i="9" s="1"/>
  <c r="E114" i="9" s="1"/>
  <c r="E115" i="9" s="1"/>
  <c r="N69" i="9"/>
  <c r="M86" i="9" s="1"/>
  <c r="N86" i="9" s="1"/>
  <c r="D77" i="9"/>
  <c r="N75" i="9" s="1"/>
  <c r="E14" i="66"/>
  <c r="D70" i="9"/>
  <c r="C96" i="9"/>
  <c r="C91" i="9" s="1"/>
  <c r="D71" i="9"/>
  <c r="D66" i="9" s="1"/>
  <c r="N72" i="9" s="1"/>
  <c r="B5" i="66"/>
  <c r="D5" i="66" s="1"/>
  <c r="C97" i="9" l="1"/>
  <c r="C98" i="9" s="1"/>
  <c r="E98" i="9" s="1"/>
  <c r="E99" i="9" s="1"/>
  <c r="M83" i="9"/>
  <c r="N83" i="9" s="1"/>
  <c r="C6" i="66"/>
  <c r="M88" i="9"/>
  <c r="N88" i="9" s="1"/>
  <c r="M87" i="9"/>
  <c r="N87" i="9" s="1"/>
  <c r="M84" i="9"/>
  <c r="N84" i="9" s="1"/>
  <c r="M85" i="9"/>
  <c r="N85" i="9" s="1"/>
  <c r="K29" i="9"/>
  <c r="K30" i="9" s="1"/>
  <c r="C5" i="66"/>
  <c r="C115" i="9"/>
  <c r="D76" i="9" s="1"/>
  <c r="D74" i="9" s="1"/>
  <c r="N74" i="9" s="1"/>
  <c r="O77" i="9" s="1"/>
  <c r="Q77" i="9" s="1"/>
  <c r="C99" i="9" l="1"/>
  <c r="N89" i="9"/>
  <c r="O89" i="9" s="1"/>
  <c r="O79" i="9"/>
  <c r="O81" i="9" s="1"/>
  <c r="O78" i="9"/>
  <c r="O8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2"/>
            <color indexed="81"/>
            <rFont val="宋体"/>
            <family val="3"/>
            <charset val="134"/>
          </rPr>
          <t>取值范围：
1.5%-2.5%</t>
        </r>
        <r>
          <rPr>
            <sz val="9"/>
            <color indexed="81"/>
            <rFont val="宋体"/>
            <family val="3"/>
            <charset val="134"/>
          </rPr>
          <t xml:space="preserve">
</t>
        </r>
      </text>
    </comment>
    <comment ref="AL5" authorId="0" shapeId="0" xr:uid="{00000000-0006-0000-0E00-00000700000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800000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2" authorId="0" shapeId="0" xr:uid="{00000000-0006-0000-1200-000001000000}">
      <text>
        <r>
          <rPr>
            <b/>
            <sz val="12"/>
            <color indexed="81"/>
            <rFont val="宋体"/>
            <family val="3"/>
            <charset val="134"/>
          </rPr>
          <t>价值时点所在季度</t>
        </r>
        <r>
          <rPr>
            <sz val="12"/>
            <color indexed="81"/>
            <rFont val="宋体"/>
            <family val="3"/>
            <charset val="134"/>
          </rPr>
          <t xml:space="preserve">
</t>
        </r>
      </text>
    </comment>
    <comment ref="B73" authorId="1" shapeId="0" xr:uid="{00000000-0006-0000-1200-000002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7" authorId="0" shapeId="0" xr:uid="{00000000-0006-0000-1400-000001000000}">
      <text>
        <r>
          <rPr>
            <b/>
            <sz val="12"/>
            <color indexed="81"/>
            <rFont val="宋体"/>
            <family val="3"/>
            <charset val="134"/>
          </rPr>
          <t>价值时点所在季度</t>
        </r>
        <r>
          <rPr>
            <sz val="12"/>
            <color indexed="81"/>
            <rFont val="宋体"/>
            <family val="3"/>
            <charset val="134"/>
          </rPr>
          <t xml:space="preserve">
</t>
        </r>
      </text>
    </comment>
    <comment ref="B68" authorId="1" shapeId="0" xr:uid="{00000000-0006-0000-1400-000002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500-00001C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4" authorId="0" shapeId="0" xr:uid="{00000000-0006-0000-1D00-000001000000}">
      <text>
        <r>
          <rPr>
            <sz val="11"/>
            <color indexed="81"/>
            <rFont val="宋体"/>
            <family val="3"/>
            <charset val="134"/>
          </rPr>
          <t>开发期≤1年，单利计息；＞1年，复利计息</t>
        </r>
        <r>
          <rPr>
            <sz val="9"/>
            <color indexed="81"/>
            <rFont val="宋体"/>
            <family val="3"/>
            <charset val="134"/>
          </rPr>
          <t xml:space="preserve">
</t>
        </r>
      </text>
    </comment>
    <comment ref="F33" authorId="1" shapeId="0" xr:uid="{00000000-0006-0000-1D00-000002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xr:uid="{00000000-0006-0000-1D00-000003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D00-000004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D00-000005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F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F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20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20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866275B8-F6B4-489C-8B17-F2E4848BD655}">
      <text>
        <r>
          <rPr>
            <b/>
            <sz val="12"/>
            <color indexed="81"/>
            <rFont val="宋体"/>
            <family val="3"/>
            <charset val="134"/>
          </rPr>
          <t>价值时点所在月度</t>
        </r>
        <r>
          <rPr>
            <sz val="12"/>
            <color indexed="81"/>
            <rFont val="宋体"/>
            <family val="3"/>
            <charset val="134"/>
          </rPr>
          <t xml:space="preserve">
</t>
        </r>
      </text>
    </comment>
    <comment ref="B102" authorId="0" shapeId="0" xr:uid="{643CE9E7-9A21-47F2-B3ED-787DEBE2976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1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1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100-000003000000}">
      <text>
        <r>
          <rPr>
            <sz val="11"/>
            <color indexed="81"/>
            <rFont val="宋体"/>
            <family val="3"/>
            <charset val="134"/>
          </rPr>
          <t xml:space="preserve">需注意，采用基准地价系数修正法中土地结果计算时，土地报酬率应采用该方法中报酬率（还原率）。
</t>
        </r>
      </text>
    </comment>
    <comment ref="L55" authorId="1" shapeId="0" xr:uid="{00000000-0006-0000-21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100-000005000000}">
      <text>
        <r>
          <rPr>
            <sz val="11"/>
            <color indexed="81"/>
            <rFont val="宋体"/>
            <family val="3"/>
            <charset val="134"/>
          </rPr>
          <t>未建项目选择“是”</t>
        </r>
        <r>
          <rPr>
            <sz val="9"/>
            <color indexed="81"/>
            <rFont val="宋体"/>
            <family val="3"/>
            <charset val="134"/>
          </rPr>
          <t xml:space="preserve">
</t>
        </r>
      </text>
    </comment>
    <comment ref="F58" authorId="0" shapeId="0" xr:uid="{00000000-0006-0000-21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24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24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25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25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2500-000003000000}">
      <text>
        <r>
          <rPr>
            <sz val="11"/>
            <color indexed="81"/>
            <rFont val="宋体"/>
            <family val="3"/>
            <charset val="134"/>
          </rPr>
          <t xml:space="preserve">需注意，采用基准地价系数修正法中土地结果计算时，土地报酬率应采用该方法中报酬率（还原率）。
</t>
        </r>
      </text>
    </comment>
    <comment ref="L55" authorId="1" shapeId="0" xr:uid="{00000000-0006-0000-25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2500-000005000000}">
      <text>
        <r>
          <rPr>
            <sz val="11"/>
            <color indexed="81"/>
            <rFont val="宋体"/>
            <family val="3"/>
            <charset val="134"/>
          </rPr>
          <t>未建项目选择“是”</t>
        </r>
        <r>
          <rPr>
            <sz val="9"/>
            <color indexed="81"/>
            <rFont val="宋体"/>
            <family val="3"/>
            <charset val="134"/>
          </rPr>
          <t xml:space="preserve">
</t>
        </r>
      </text>
    </comment>
    <comment ref="F58" authorId="0" shapeId="0" xr:uid="{00000000-0006-0000-25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2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2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2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900-000003000000}">
      <text>
        <r>
          <rPr>
            <b/>
            <sz val="12"/>
            <color indexed="81"/>
            <rFont val="宋体"/>
            <family val="3"/>
            <charset val="134"/>
          </rPr>
          <t>所属项目品质或
物业管理</t>
        </r>
      </text>
    </comment>
    <comment ref="B90" authorId="0" shapeId="0" xr:uid="{00000000-0006-0000-2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2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2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A00-000003000000}">
      <text>
        <r>
          <rPr>
            <b/>
            <sz val="12"/>
            <color indexed="81"/>
            <rFont val="宋体"/>
            <family val="3"/>
            <charset val="134"/>
          </rPr>
          <t>所属项目品质或
物业管理</t>
        </r>
      </text>
    </comment>
    <comment ref="B86" authorId="0" shapeId="0" xr:uid="{00000000-0006-0000-2A00-000004000000}">
      <text>
        <r>
          <rPr>
            <b/>
            <sz val="12"/>
            <color indexed="81"/>
            <rFont val="宋体"/>
            <family val="3"/>
            <charset val="134"/>
          </rPr>
          <t>所属项目品质</t>
        </r>
      </text>
    </comment>
    <comment ref="B89" authorId="0" shapeId="0" xr:uid="{00000000-0006-0000-2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B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<sst xmlns="http://schemas.openxmlformats.org/spreadsheetml/2006/main" count="8456" uniqueCount="3404">
  <si>
    <t>土地使用权证号</t>
    <phoneticPr fontId="10" type="noConversion"/>
  </si>
  <si>
    <t>——</t>
    <phoneticPr fontId="8" type="noConversion"/>
  </si>
  <si>
    <t>——</t>
    <phoneticPr fontId="8" type="noConversion"/>
  </si>
  <si>
    <t>——</t>
    <phoneticPr fontId="8" type="noConversion"/>
  </si>
  <si>
    <t>建筑面积依据</t>
    <phoneticPr fontId="10" type="noConversion"/>
  </si>
  <si>
    <t>建设内容/楼号</t>
    <phoneticPr fontId="10" type="noConversion"/>
  </si>
  <si>
    <t>——</t>
    <phoneticPr fontId="19" type="noConversion"/>
  </si>
  <si>
    <t>3</t>
    <phoneticPr fontId="8" type="noConversion"/>
  </si>
  <si>
    <t>100/</t>
    <phoneticPr fontId="8" type="noConversion"/>
  </si>
  <si>
    <t>——</t>
    <phoneticPr fontId="8" type="noConversion"/>
  </si>
  <si>
    <t>100/</t>
    <phoneticPr fontId="8" type="noConversion"/>
  </si>
  <si>
    <t>100/</t>
    <phoneticPr fontId="8" type="noConversion"/>
  </si>
  <si>
    <t>——</t>
    <phoneticPr fontId="19" type="noConversion"/>
  </si>
  <si>
    <t>100/</t>
    <phoneticPr fontId="8" type="noConversion"/>
  </si>
  <si>
    <t>-</t>
    <phoneticPr fontId="31" type="noConversion"/>
  </si>
  <si>
    <t>-</t>
    <phoneticPr fontId="31" type="noConversion"/>
  </si>
  <si>
    <t>-</t>
    <phoneticPr fontId="31" type="noConversion"/>
  </si>
  <si>
    <t>-</t>
    <phoneticPr fontId="31" type="noConversion"/>
  </si>
  <si>
    <t>-</t>
    <phoneticPr fontId="31" type="noConversion"/>
  </si>
  <si>
    <t>——</t>
    <phoneticPr fontId="38" type="noConversion"/>
  </si>
  <si>
    <t>——</t>
    <phoneticPr fontId="26" type="noConversion"/>
  </si>
  <si>
    <t>——</t>
    <phoneticPr fontId="13"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</si>
  <si>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</si>
  <si>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</si>
  <si>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</si>
  <si>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</si>
  <si>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</si>
  <si>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</si>
  <si>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</si>
  <si>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</si>
  <si>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</si>
  <si>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</si>
  <si>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</si>
  <si>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</si>
  <si>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</si>
  <si>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</si>
  <si>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</si>
  <si>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</si>
  <si>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</si>
  <si>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</si>
  <si>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</si>
  <si>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</si>
  <si>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</si>
  <si>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t>
    <phoneticPr fontId="14" type="noConversion"/>
  </si>
  <si>
    <t>——</t>
    <phoneticPr fontId="14" type="noConversion"/>
  </si>
  <si>
    <r>
      <rPr>
        <b/>
        <sz val="12"/>
        <color indexed="8"/>
        <rFont val="仿宋_GB2312"/>
        <family val="3"/>
        <charset val="134"/>
      </rPr>
      <t>下拉菜单</t>
    </r>
  </si>
  <si>
    <r>
      <rPr>
        <sz val="11"/>
        <color indexed="8"/>
        <rFont val="仿宋_GB2312"/>
        <family val="3"/>
        <charset val="134"/>
      </rPr>
      <t>黄色底纹单元格</t>
    </r>
    <phoneticPr fontId="34" type="noConversion"/>
  </si>
  <si>
    <r>
      <rPr>
        <b/>
        <sz val="12"/>
        <color indexed="8"/>
        <rFont val="仿宋_GB2312"/>
        <family val="3"/>
        <charset val="134"/>
      </rPr>
      <t>不可更改项</t>
    </r>
    <phoneticPr fontId="8" type="noConversion"/>
  </si>
  <si>
    <r>
      <rPr>
        <sz val="11"/>
        <color indexed="8"/>
        <rFont val="仿宋_GB2312"/>
        <family val="3"/>
        <charset val="134"/>
      </rPr>
      <t>灰色底纹单元格</t>
    </r>
    <phoneticPr fontId="34" type="noConversion"/>
  </si>
  <si>
    <r>
      <rPr>
        <b/>
        <sz val="12"/>
        <color indexed="13"/>
        <rFont val="仿宋_GB2312"/>
        <family val="3"/>
        <charset val="134"/>
      </rPr>
      <t>错误提示</t>
    </r>
    <phoneticPr fontId="34" type="noConversion"/>
  </si>
  <si>
    <r>
      <rPr>
        <sz val="11"/>
        <color indexed="8"/>
        <rFont val="仿宋_GB2312"/>
        <family val="3"/>
        <charset val="134"/>
      </rPr>
      <t>红色底纹黄色字体</t>
    </r>
    <phoneticPr fontId="34" type="noConversion"/>
  </si>
  <si>
    <r>
      <rPr>
        <b/>
        <sz val="12"/>
        <color indexed="10"/>
        <rFont val="仿宋_GB2312"/>
        <family val="3"/>
        <charset val="134"/>
      </rPr>
      <t>特别提示</t>
    </r>
    <phoneticPr fontId="34" type="noConversion"/>
  </si>
  <si>
    <r>
      <rPr>
        <b/>
        <sz val="12"/>
        <color indexed="8"/>
        <rFont val="仿宋_GB2312"/>
        <family val="3"/>
        <charset val="134"/>
      </rPr>
      <t>关注批注角标</t>
    </r>
    <phoneticPr fontId="34" type="noConversion"/>
  </si>
  <si>
    <r>
      <rPr>
        <sz val="11"/>
        <color indexed="8"/>
        <rFont val="仿宋_GB2312"/>
        <family val="3"/>
        <charset val="134"/>
      </rPr>
      <t>基础表</t>
    </r>
    <phoneticPr fontId="8" type="noConversion"/>
  </si>
  <si>
    <r>
      <rPr>
        <sz val="11"/>
        <color indexed="8"/>
        <rFont val="仿宋_GB2312"/>
        <family val="3"/>
        <charset val="134"/>
      </rPr>
      <t>数据表</t>
    </r>
    <phoneticPr fontId="8" type="noConversion"/>
  </si>
  <si>
    <r>
      <rPr>
        <sz val="11"/>
        <color indexed="8"/>
        <rFont val="仿宋_GB2312"/>
        <family val="3"/>
        <charset val="134"/>
      </rPr>
      <t>汇总表</t>
    </r>
    <phoneticPr fontId="8" type="noConversion"/>
  </si>
  <si>
    <r>
      <rPr>
        <sz val="11"/>
        <color indexed="8"/>
        <rFont val="仿宋_GB2312"/>
        <family val="3"/>
        <charset val="134"/>
      </rPr>
      <t>取费表</t>
    </r>
    <phoneticPr fontId="8" type="noConversion"/>
  </si>
  <si>
    <r>
      <rPr>
        <sz val="11"/>
        <color indexed="8"/>
        <rFont val="仿宋_GB2312"/>
        <family val="3"/>
        <charset val="134"/>
      </rPr>
      <t>房地状况</t>
    </r>
    <phoneticPr fontId="8" type="noConversion"/>
  </si>
  <si>
    <r>
      <rPr>
        <sz val="11"/>
        <color indexed="8"/>
        <rFont val="仿宋_GB2312"/>
        <family val="3"/>
        <charset val="134"/>
      </rPr>
      <t>结果表</t>
    </r>
    <phoneticPr fontId="8" type="noConversion"/>
  </si>
  <si>
    <r>
      <rPr>
        <sz val="11"/>
        <color indexed="8"/>
        <rFont val="仿宋_GB2312"/>
        <family val="3"/>
        <charset val="134"/>
      </rPr>
      <t>方法</t>
    </r>
    <phoneticPr fontId="8" type="noConversion"/>
  </si>
  <si>
    <r>
      <rPr>
        <sz val="11"/>
        <color indexed="8"/>
        <rFont val="仿宋_GB2312"/>
        <family val="3"/>
        <charset val="134"/>
      </rPr>
      <t>成本</t>
    </r>
    <phoneticPr fontId="8" type="noConversion"/>
  </si>
  <si>
    <r>
      <rPr>
        <sz val="11"/>
        <color indexed="8"/>
        <rFont val="仿宋_GB2312"/>
        <family val="3"/>
        <charset val="134"/>
      </rPr>
      <t>假开</t>
    </r>
    <phoneticPr fontId="8" type="noConversion"/>
  </si>
  <si>
    <r>
      <rPr>
        <sz val="11"/>
        <color indexed="8"/>
        <rFont val="仿宋_GB2312"/>
        <family val="3"/>
        <charset val="134"/>
      </rPr>
      <t>收益</t>
    </r>
    <phoneticPr fontId="8" type="noConversion"/>
  </si>
  <si>
    <r>
      <rPr>
        <sz val="11"/>
        <color indexed="8"/>
        <rFont val="仿宋_GB2312"/>
        <family val="3"/>
        <charset val="134"/>
      </rPr>
      <t>比较</t>
    </r>
    <phoneticPr fontId="8" type="noConversion"/>
  </si>
  <si>
    <r>
      <t>5.</t>
    </r>
    <r>
      <rPr>
        <sz val="11"/>
        <color indexed="8"/>
        <rFont val="仿宋_GB2312"/>
        <family val="3"/>
        <charset val="134"/>
      </rPr>
      <t>面积依据不同时，以每部分取得的最新数据文件为依据。</t>
    </r>
    <phoneticPr fontId="8"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</si>
  <si>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4" type="noConversion"/>
  </si>
  <si>
    <r>
      <rPr>
        <b/>
        <sz val="12"/>
        <color indexed="8"/>
        <rFont val="仿宋_GB2312"/>
        <family val="3"/>
        <charset val="134"/>
      </rPr>
      <t>录入项</t>
    </r>
    <phoneticPr fontId="8" type="noConversion"/>
  </si>
  <si>
    <r>
      <rPr>
        <sz val="11"/>
        <color indexed="8"/>
        <rFont val="仿宋_GB2312"/>
        <family val="3"/>
        <charset val="134"/>
      </rPr>
      <t>无底纹单元格</t>
    </r>
    <phoneticPr fontId="34"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</si>
  <si>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4"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</si>
  <si>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8" type="noConversion"/>
  </si>
  <si>
    <r>
      <rPr>
        <sz val="11"/>
        <color indexed="8"/>
        <rFont val="仿宋_GB2312"/>
        <family val="3"/>
        <charset val="134"/>
      </rPr>
      <t>车库</t>
    </r>
    <phoneticPr fontId="19" type="noConversion"/>
  </si>
  <si>
    <r>
      <rPr>
        <sz val="11"/>
        <color indexed="8"/>
        <rFont val="仿宋_GB2312"/>
        <family val="3"/>
        <charset val="134"/>
      </rPr>
      <t>车库</t>
    </r>
    <phoneticPr fontId="19" type="noConversion"/>
  </si>
  <si>
    <r>
      <rPr>
        <sz val="11"/>
        <color indexed="8"/>
        <rFont val="仿宋_GB2312"/>
        <family val="3"/>
        <charset val="134"/>
      </rPr>
      <t>仓储</t>
    </r>
    <phoneticPr fontId="19" type="noConversion"/>
  </si>
  <si>
    <r>
      <rPr>
        <sz val="11"/>
        <color indexed="8"/>
        <rFont val="仿宋_GB2312"/>
        <family val="3"/>
        <charset val="134"/>
      </rPr>
      <t>平层住宅</t>
    </r>
    <phoneticPr fontId="19" type="noConversion"/>
  </si>
  <si>
    <r>
      <rPr>
        <sz val="11"/>
        <color indexed="8"/>
        <rFont val="仿宋_GB2312"/>
        <family val="3"/>
        <charset val="134"/>
      </rPr>
      <t>是</t>
    </r>
    <phoneticPr fontId="19" type="noConversion"/>
  </si>
  <si>
    <r>
      <rPr>
        <sz val="11"/>
        <color indexed="8"/>
        <rFont val="仿宋_GB2312"/>
        <family val="3"/>
        <charset val="134"/>
      </rPr>
      <t>好</t>
    </r>
  </si>
  <si>
    <r>
      <rPr>
        <sz val="11"/>
        <color indexed="8"/>
        <rFont val="仿宋_GB2312"/>
        <family val="3"/>
        <charset val="134"/>
      </rPr>
      <t>多面临街</t>
    </r>
    <phoneticPr fontId="44" type="noConversion"/>
  </si>
  <si>
    <r>
      <rPr>
        <sz val="11"/>
        <color indexed="8"/>
        <rFont val="仿宋_GB2312"/>
        <family val="3"/>
        <charset val="134"/>
      </rPr>
      <t>单位面积地价</t>
    </r>
    <phoneticPr fontId="19" type="noConversion"/>
  </si>
  <si>
    <r>
      <t>LOFT</t>
    </r>
    <r>
      <rPr>
        <sz val="11"/>
        <color indexed="8"/>
        <rFont val="仿宋_GB2312"/>
        <family val="3"/>
        <charset val="134"/>
      </rPr>
      <t>住宅</t>
    </r>
    <phoneticPr fontId="19" type="noConversion"/>
  </si>
  <si>
    <r>
      <rPr>
        <sz val="11"/>
        <color indexed="8"/>
        <rFont val="仿宋_GB2312"/>
        <family val="3"/>
        <charset val="134"/>
      </rPr>
      <t>否</t>
    </r>
    <phoneticPr fontId="19" type="noConversion"/>
  </si>
  <si>
    <r>
      <rPr>
        <sz val="11"/>
        <color indexed="8"/>
        <rFont val="仿宋_GB2312"/>
        <family val="3"/>
        <charset val="134"/>
      </rPr>
      <t>商业</t>
    </r>
    <phoneticPr fontId="19" type="noConversion"/>
  </si>
  <si>
    <r>
      <rPr>
        <sz val="11"/>
        <color indexed="8"/>
        <rFont val="仿宋_GB2312"/>
        <family val="3"/>
        <charset val="134"/>
      </rPr>
      <t>商业</t>
    </r>
    <phoneticPr fontId="19" type="noConversion"/>
  </si>
  <si>
    <r>
      <t>50-60</t>
    </r>
    <r>
      <rPr>
        <sz val="11"/>
        <color indexed="8"/>
        <rFont val="仿宋_GB2312"/>
        <family val="3"/>
        <charset val="134"/>
      </rPr>
      <t>（含）</t>
    </r>
    <phoneticPr fontId="19" type="noConversion"/>
  </si>
  <si>
    <r>
      <rPr>
        <sz val="11"/>
        <color indexed="8"/>
        <rFont val="仿宋_GB2312"/>
        <family val="3"/>
        <charset val="134"/>
      </rPr>
      <t>非经营性</t>
    </r>
    <phoneticPr fontId="19" type="noConversion"/>
  </si>
  <si>
    <r>
      <rPr>
        <sz val="11"/>
        <color indexed="8"/>
        <rFont val="仿宋_GB2312"/>
        <family val="3"/>
        <charset val="134"/>
      </rPr>
      <t>较好</t>
    </r>
  </si>
  <si>
    <r>
      <rPr>
        <sz val="11"/>
        <color indexed="8"/>
        <rFont val="仿宋_GB2312"/>
        <family val="3"/>
        <charset val="134"/>
      </rPr>
      <t>双面临街</t>
    </r>
    <phoneticPr fontId="44" type="noConversion"/>
  </si>
  <si>
    <r>
      <rPr>
        <sz val="11"/>
        <color indexed="8"/>
        <rFont val="仿宋_GB2312"/>
        <family val="3"/>
        <charset val="134"/>
      </rPr>
      <t>楼面地价</t>
    </r>
    <phoneticPr fontId="19" type="noConversion"/>
  </si>
  <si>
    <r>
      <rPr>
        <sz val="11"/>
        <color indexed="8"/>
        <rFont val="仿宋_GB2312"/>
        <family val="3"/>
        <charset val="134"/>
      </rPr>
      <t>普通住宅</t>
    </r>
    <phoneticPr fontId="19" type="noConversion"/>
  </si>
  <si>
    <r>
      <rPr>
        <sz val="11"/>
        <color indexed="8"/>
        <rFont val="仿宋_GB2312"/>
        <family val="3"/>
        <charset val="134"/>
      </rPr>
      <t>地下</t>
    </r>
    <phoneticPr fontId="19" type="noConversion"/>
  </si>
  <si>
    <r>
      <rPr>
        <sz val="11"/>
        <color indexed="8"/>
        <rFont val="仿宋_GB2312"/>
        <family val="3"/>
        <charset val="134"/>
      </rPr>
      <t>办公</t>
    </r>
    <phoneticPr fontId="19" type="noConversion"/>
  </si>
  <si>
    <r>
      <rPr>
        <sz val="11"/>
        <color indexed="8"/>
        <rFont val="仿宋_GB2312"/>
        <family val="3"/>
        <charset val="134"/>
      </rPr>
      <t>办公</t>
    </r>
    <phoneticPr fontId="19" type="noConversion"/>
  </si>
  <si>
    <r>
      <t>40-50</t>
    </r>
    <r>
      <rPr>
        <sz val="11"/>
        <color indexed="8"/>
        <rFont val="仿宋_GB2312"/>
        <family val="3"/>
        <charset val="134"/>
      </rPr>
      <t>（含）</t>
    </r>
    <phoneticPr fontId="19" type="noConversion"/>
  </si>
  <si>
    <r>
      <rPr>
        <sz val="11"/>
        <color indexed="8"/>
        <rFont val="仿宋_GB2312"/>
        <family val="3"/>
        <charset val="134"/>
      </rPr>
      <t>一般</t>
    </r>
  </si>
  <si>
    <r>
      <rPr>
        <sz val="11"/>
        <color indexed="8"/>
        <rFont val="仿宋_GB2312"/>
        <family val="3"/>
        <charset val="134"/>
      </rPr>
      <t>单面临街</t>
    </r>
    <phoneticPr fontId="44" type="noConversion"/>
  </si>
  <si>
    <r>
      <rPr>
        <sz val="11"/>
        <color indexed="8"/>
        <rFont val="仿宋_GB2312"/>
        <family val="3"/>
        <charset val="134"/>
      </rPr>
      <t>公寓</t>
    </r>
    <phoneticPr fontId="19" type="noConversion"/>
  </si>
  <si>
    <r>
      <rPr>
        <sz val="11"/>
        <color indexed="8"/>
        <rFont val="仿宋_GB2312"/>
        <family val="3"/>
        <charset val="134"/>
      </rPr>
      <t>工业</t>
    </r>
    <phoneticPr fontId="19" type="noConversion"/>
  </si>
  <si>
    <r>
      <t>30-40</t>
    </r>
    <r>
      <rPr>
        <sz val="11"/>
        <color indexed="8"/>
        <rFont val="仿宋_GB2312"/>
        <family val="3"/>
        <charset val="134"/>
      </rPr>
      <t>（含）</t>
    </r>
    <phoneticPr fontId="19" type="noConversion"/>
  </si>
  <si>
    <r>
      <rPr>
        <sz val="11"/>
        <color indexed="8"/>
        <rFont val="仿宋_GB2312"/>
        <family val="3"/>
        <charset val="134"/>
      </rPr>
      <t>较差</t>
    </r>
  </si>
  <si>
    <r>
      <rPr>
        <sz val="11"/>
        <color indexed="8"/>
        <rFont val="仿宋_GB2312"/>
        <family val="3"/>
        <charset val="134"/>
      </rPr>
      <t>不临街</t>
    </r>
    <phoneticPr fontId="44" type="noConversion"/>
  </si>
  <si>
    <r>
      <rPr>
        <sz val="11"/>
        <color indexed="8"/>
        <rFont val="仿宋_GB2312"/>
        <family val="3"/>
        <charset val="134"/>
      </rPr>
      <t>洋房</t>
    </r>
    <phoneticPr fontId="19" type="noConversion"/>
  </si>
  <si>
    <r>
      <t>20-30</t>
    </r>
    <r>
      <rPr>
        <sz val="11"/>
        <color indexed="8"/>
        <rFont val="仿宋_GB2312"/>
        <family val="3"/>
        <charset val="134"/>
      </rPr>
      <t>（含）</t>
    </r>
    <phoneticPr fontId="19" type="noConversion"/>
  </si>
  <si>
    <r>
      <rPr>
        <sz val="11"/>
        <color indexed="8"/>
        <rFont val="仿宋_GB2312"/>
        <family val="3"/>
        <charset val="134"/>
      </rPr>
      <t>差</t>
    </r>
  </si>
  <si>
    <r>
      <rPr>
        <sz val="11"/>
        <color indexed="8"/>
        <rFont val="仿宋_GB2312"/>
        <family val="3"/>
        <charset val="134"/>
      </rPr>
      <t>叠拼</t>
    </r>
    <phoneticPr fontId="19" type="noConversion"/>
  </si>
  <si>
    <r>
      <rPr>
        <sz val="11"/>
        <color indexed="8"/>
        <rFont val="仿宋_GB2312"/>
        <family val="3"/>
        <charset val="134"/>
      </rPr>
      <t>成本逼近法</t>
    </r>
    <phoneticPr fontId="19" type="noConversion"/>
  </si>
  <si>
    <r>
      <rPr>
        <sz val="11"/>
        <color indexed="8"/>
        <rFont val="仿宋_GB2312"/>
        <family val="3"/>
        <charset val="134"/>
      </rPr>
      <t>工业</t>
    </r>
    <phoneticPr fontId="19" type="noConversion"/>
  </si>
  <si>
    <r>
      <t>10-20</t>
    </r>
    <r>
      <rPr>
        <sz val="11"/>
        <color indexed="8"/>
        <rFont val="仿宋_GB2312"/>
        <family val="3"/>
        <charset val="134"/>
      </rPr>
      <t>（含）</t>
    </r>
    <phoneticPr fontId="19" type="noConversion"/>
  </si>
  <si>
    <r>
      <rPr>
        <sz val="11"/>
        <color indexed="8"/>
        <rFont val="仿宋_GB2312"/>
        <family val="3"/>
        <charset val="134"/>
      </rPr>
      <t>联排</t>
    </r>
    <phoneticPr fontId="19" type="noConversion"/>
  </si>
  <si>
    <r>
      <rPr>
        <sz val="11"/>
        <color indexed="8"/>
        <rFont val="仿宋_GB2312"/>
        <family val="3"/>
        <charset val="134"/>
      </rPr>
      <t>不动产收益法</t>
    </r>
    <phoneticPr fontId="19" type="noConversion"/>
  </si>
  <si>
    <r>
      <t>0-10</t>
    </r>
    <r>
      <rPr>
        <sz val="11"/>
        <color indexed="8"/>
        <rFont val="仿宋_GB2312"/>
        <family val="3"/>
        <charset val="134"/>
      </rPr>
      <t>（含）</t>
    </r>
    <phoneticPr fontId="19" type="noConversion"/>
  </si>
  <si>
    <r>
      <rPr>
        <sz val="11"/>
        <color indexed="8"/>
        <rFont val="仿宋_GB2312"/>
        <family val="3"/>
        <charset val="134"/>
      </rPr>
      <t>双拼</t>
    </r>
    <phoneticPr fontId="19" type="noConversion"/>
  </si>
  <si>
    <r>
      <rPr>
        <sz val="11"/>
        <color indexed="8"/>
        <rFont val="仿宋_GB2312"/>
        <family val="3"/>
        <charset val="134"/>
      </rPr>
      <t>仓储</t>
    </r>
    <phoneticPr fontId="19" type="noConversion"/>
  </si>
  <si>
    <r>
      <rPr>
        <sz val="11"/>
        <color indexed="8"/>
        <rFont val="仿宋_GB2312"/>
        <family val="3"/>
        <charset val="134"/>
      </rPr>
      <t>独栋</t>
    </r>
    <phoneticPr fontId="19" type="noConversion"/>
  </si>
  <si>
    <r>
      <rPr>
        <sz val="11"/>
        <color indexed="8"/>
        <rFont val="仿宋_GB2312"/>
        <family val="3"/>
        <charset val="134"/>
      </rPr>
      <t>底商</t>
    </r>
    <phoneticPr fontId="19" type="noConversion"/>
  </si>
  <si>
    <r>
      <rPr>
        <sz val="11"/>
        <color indexed="8"/>
        <rFont val="仿宋_GB2312"/>
        <family val="3"/>
        <charset val="134"/>
      </rPr>
      <t>独立商业</t>
    </r>
    <phoneticPr fontId="19" type="noConversion"/>
  </si>
  <si>
    <r>
      <rPr>
        <sz val="11"/>
        <color indexed="8"/>
        <rFont val="仿宋_GB2312"/>
        <family val="3"/>
        <charset val="134"/>
      </rPr>
      <t>商业街</t>
    </r>
    <phoneticPr fontId="19" type="noConversion"/>
  </si>
  <si>
    <r>
      <rPr>
        <sz val="11"/>
        <color indexed="8"/>
        <rFont val="仿宋_GB2312"/>
        <family val="3"/>
        <charset val="134"/>
      </rPr>
      <t>酒店</t>
    </r>
    <phoneticPr fontId="19" type="noConversion"/>
  </si>
  <si>
    <r>
      <rPr>
        <sz val="11"/>
        <color indexed="8"/>
        <rFont val="仿宋_GB2312"/>
        <family val="3"/>
        <charset val="134"/>
      </rPr>
      <t>标准厂房</t>
    </r>
    <phoneticPr fontId="19" type="noConversion"/>
  </si>
  <si>
    <r>
      <rPr>
        <sz val="11"/>
        <color indexed="8"/>
        <rFont val="仿宋_GB2312"/>
        <family val="3"/>
        <charset val="134"/>
      </rPr>
      <t>特殊厂房</t>
    </r>
    <phoneticPr fontId="19" type="noConversion"/>
  </si>
  <si>
    <r>
      <rPr>
        <sz val="11"/>
        <color indexed="8"/>
        <rFont val="仿宋_GB2312"/>
        <family val="3"/>
        <charset val="134"/>
      </rPr>
      <t>办公楼</t>
    </r>
    <phoneticPr fontId="19" type="noConversion"/>
  </si>
  <si>
    <r>
      <rPr>
        <sz val="11"/>
        <color indexed="8"/>
        <rFont val="仿宋_GB2312"/>
        <family val="3"/>
        <charset val="134"/>
      </rPr>
      <t>宿舍</t>
    </r>
    <phoneticPr fontId="19" type="noConversion"/>
  </si>
  <si>
    <r>
      <rPr>
        <sz val="11"/>
        <color indexed="8"/>
        <rFont val="仿宋_GB2312"/>
        <family val="3"/>
        <charset val="134"/>
      </rPr>
      <t>食堂</t>
    </r>
    <phoneticPr fontId="19" type="noConversion"/>
  </si>
  <si>
    <r>
      <rPr>
        <sz val="11"/>
        <color indexed="8"/>
        <rFont val="仿宋_GB2312"/>
        <family val="3"/>
        <charset val="134"/>
      </rPr>
      <t>车库</t>
    </r>
    <phoneticPr fontId="19" type="noConversion"/>
  </si>
  <si>
    <r>
      <rPr>
        <sz val="11"/>
        <color indexed="8"/>
        <rFont val="仿宋_GB2312"/>
        <family val="3"/>
        <charset val="134"/>
      </rPr>
      <t>戊类库房</t>
    </r>
    <phoneticPr fontId="19" type="noConversion"/>
  </si>
  <si>
    <r>
      <rPr>
        <sz val="11"/>
        <color indexed="8"/>
        <rFont val="仿宋_GB2312"/>
        <family val="3"/>
        <charset val="134"/>
      </rPr>
      <t>燃品库房</t>
    </r>
    <phoneticPr fontId="19" type="noConversion"/>
  </si>
  <si>
    <r>
      <rPr>
        <sz val="11"/>
        <color indexed="8"/>
        <rFont val="仿宋_GB2312"/>
        <family val="3"/>
        <charset val="134"/>
      </rPr>
      <t>非燃品库房</t>
    </r>
    <phoneticPr fontId="19" type="noConversion"/>
  </si>
  <si>
    <r>
      <rPr>
        <sz val="11"/>
        <color indexed="8"/>
        <rFont val="仿宋_GB2312"/>
        <family val="3"/>
        <charset val="134"/>
      </rPr>
      <t>限价商品房</t>
    </r>
    <phoneticPr fontId="41" type="noConversion"/>
  </si>
  <si>
    <r>
      <rPr>
        <sz val="11"/>
        <color indexed="8"/>
        <rFont val="仿宋_GB2312"/>
        <family val="3"/>
        <charset val="134"/>
      </rPr>
      <t>自住商品房</t>
    </r>
    <phoneticPr fontId="41" type="noConversion"/>
  </si>
  <si>
    <r>
      <rPr>
        <sz val="11"/>
        <color indexed="8"/>
        <rFont val="仿宋_GB2312"/>
        <family val="3"/>
        <charset val="134"/>
      </rPr>
      <t>地上</t>
    </r>
    <phoneticPr fontId="19" type="noConversion"/>
  </si>
  <si>
    <r>
      <rPr>
        <sz val="11"/>
        <color indexed="8"/>
        <rFont val="仿宋_GB2312"/>
        <family val="3"/>
        <charset val="134"/>
      </rPr>
      <t>住宅</t>
    </r>
    <phoneticPr fontId="19" type="noConversion"/>
  </si>
  <si>
    <r>
      <rPr>
        <sz val="11"/>
        <color indexed="8"/>
        <rFont val="仿宋_GB2312"/>
        <family val="3"/>
        <charset val="134"/>
      </rPr>
      <t>住宅</t>
    </r>
    <phoneticPr fontId="19" type="noConversion"/>
  </si>
  <si>
    <r>
      <t>60-70</t>
    </r>
    <r>
      <rPr>
        <sz val="11"/>
        <color indexed="8"/>
        <rFont val="仿宋_GB2312"/>
        <family val="3"/>
        <charset val="134"/>
      </rPr>
      <t>（含）</t>
    </r>
    <phoneticPr fontId="19" type="noConversion"/>
  </si>
  <si>
    <r>
      <rPr>
        <sz val="11"/>
        <color indexed="8"/>
        <rFont val="仿宋_GB2312"/>
        <family val="3"/>
        <charset val="134"/>
      </rPr>
      <t>经营性</t>
    </r>
    <phoneticPr fontId="19" type="noConversion"/>
  </si>
  <si>
    <r>
      <rPr>
        <sz val="11"/>
        <color indexed="8"/>
        <rFont val="仿宋_GB2312"/>
        <family val="3"/>
        <charset val="134"/>
      </rPr>
      <t>估价方法</t>
    </r>
    <phoneticPr fontId="19" type="noConversion"/>
  </si>
  <si>
    <r>
      <rPr>
        <sz val="11"/>
        <color indexed="8"/>
        <rFont val="仿宋_GB2312"/>
        <family val="3"/>
        <charset val="134"/>
      </rPr>
      <t>判定</t>
    </r>
    <phoneticPr fontId="19" type="noConversion"/>
  </si>
  <si>
    <r>
      <rPr>
        <sz val="11"/>
        <color indexed="8"/>
        <rFont val="仿宋_GB2312"/>
        <family val="3"/>
        <charset val="134"/>
      </rPr>
      <t>位置</t>
    </r>
    <phoneticPr fontId="19" type="noConversion"/>
  </si>
  <si>
    <r>
      <rPr>
        <sz val="11"/>
        <color indexed="8"/>
        <rFont val="仿宋_GB2312"/>
        <family val="3"/>
        <charset val="134"/>
      </rPr>
      <t>主用途</t>
    </r>
    <phoneticPr fontId="19" type="noConversion"/>
  </si>
  <si>
    <r>
      <rPr>
        <sz val="11"/>
        <color indexed="8"/>
        <rFont val="仿宋_GB2312"/>
        <family val="3"/>
        <charset val="134"/>
      </rPr>
      <t>法定最高年限</t>
    </r>
    <phoneticPr fontId="19" type="noConversion"/>
  </si>
  <si>
    <r>
      <rPr>
        <sz val="11"/>
        <color indexed="8"/>
        <rFont val="仿宋_GB2312"/>
        <family val="3"/>
        <charset val="134"/>
      </rPr>
      <t>地类判定</t>
    </r>
    <phoneticPr fontId="19" type="noConversion"/>
  </si>
  <si>
    <r>
      <rPr>
        <sz val="11"/>
        <color indexed="8"/>
        <rFont val="仿宋_GB2312"/>
        <family val="3"/>
        <charset val="134"/>
      </rPr>
      <t>土地年限区间</t>
    </r>
    <phoneticPr fontId="19" type="noConversion"/>
  </si>
  <si>
    <r>
      <rPr>
        <sz val="11"/>
        <color indexed="8"/>
        <rFont val="仿宋_GB2312"/>
        <family val="3"/>
        <charset val="134"/>
      </rPr>
      <t>类别</t>
    </r>
    <phoneticPr fontId="19" type="noConversion"/>
  </si>
  <si>
    <r>
      <rPr>
        <sz val="11"/>
        <color indexed="8"/>
        <rFont val="仿宋_GB2312"/>
        <family val="3"/>
        <charset val="134"/>
      </rPr>
      <t>居住社区成熟度</t>
    </r>
    <phoneticPr fontId="19" type="noConversion"/>
  </si>
  <si>
    <r>
      <rPr>
        <sz val="11"/>
        <color indexed="8"/>
        <rFont val="仿宋_GB2312"/>
        <family val="3"/>
        <charset val="134"/>
      </rPr>
      <t>商业繁华度</t>
    </r>
    <phoneticPr fontId="19" type="noConversion"/>
  </si>
  <si>
    <r>
      <rPr>
        <sz val="11"/>
        <color indexed="8"/>
        <rFont val="仿宋_GB2312"/>
        <family val="3"/>
        <charset val="134"/>
      </rPr>
      <t>办公集聚程度</t>
    </r>
    <phoneticPr fontId="19" type="noConversion"/>
  </si>
  <si>
    <r>
      <rPr>
        <sz val="11"/>
        <color indexed="8"/>
        <rFont val="仿宋_GB2312"/>
        <family val="3"/>
        <charset val="134"/>
      </rPr>
      <t>产业集聚程度</t>
    </r>
    <phoneticPr fontId="19" type="noConversion"/>
  </si>
  <si>
    <r>
      <rPr>
        <sz val="11"/>
        <color indexed="8"/>
        <rFont val="仿宋_GB2312"/>
        <family val="3"/>
        <charset val="134"/>
      </rPr>
      <t>交通便捷度</t>
    </r>
    <phoneticPr fontId="19" type="noConversion"/>
  </si>
  <si>
    <r>
      <rPr>
        <sz val="11"/>
        <color indexed="8"/>
        <rFont val="仿宋_GB2312"/>
        <family val="3"/>
        <charset val="134"/>
      </rPr>
      <t>区域土地利用方向</t>
    </r>
    <phoneticPr fontId="44" type="noConversion"/>
  </si>
  <si>
    <r>
      <rPr>
        <sz val="11"/>
        <color indexed="8"/>
        <rFont val="仿宋_GB2312"/>
        <family val="3"/>
        <charset val="134"/>
      </rPr>
      <t>环境质量</t>
    </r>
    <phoneticPr fontId="19" type="noConversion"/>
  </si>
  <si>
    <r>
      <rPr>
        <sz val="11"/>
        <color indexed="8"/>
        <rFont val="仿宋_GB2312"/>
        <family val="3"/>
        <charset val="134"/>
      </rPr>
      <t>临街状况</t>
    </r>
    <phoneticPr fontId="44" type="noConversion"/>
  </si>
  <si>
    <r>
      <rPr>
        <sz val="11"/>
        <color indexed="8"/>
        <rFont val="仿宋_GB2312"/>
        <family val="3"/>
        <charset val="134"/>
      </rPr>
      <t>内部装修维护情况</t>
    </r>
    <phoneticPr fontId="19" type="noConversion"/>
  </si>
  <si>
    <r>
      <rPr>
        <sz val="11"/>
        <color indexed="8"/>
        <rFont val="仿宋_GB2312"/>
        <family val="3"/>
        <charset val="134"/>
      </rPr>
      <t>单价内涵</t>
    </r>
    <phoneticPr fontId="19"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</si>
  <si>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9"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</si>
  <si>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9"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</si>
  <si>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9"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</si>
  <si>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9"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</si>
  <si>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9"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</si>
  <si>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9"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</si>
  <si>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9"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</si>
  <si>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9"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</si>
  <si>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9"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</si>
  <si>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9"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</si>
  <si>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9"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</si>
  <si>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9" type="noConversion"/>
  </si>
  <si>
    <r>
      <rPr>
        <b/>
        <sz val="14"/>
        <color indexed="10"/>
        <rFont val="仿宋_GB2312"/>
        <family val="3"/>
        <charset val="134"/>
      </rPr>
      <t>数据基础表</t>
    </r>
    <phoneticPr fontId="8" type="noConversion"/>
  </si>
  <si>
    <r>
      <rPr>
        <sz val="10"/>
        <color indexed="8"/>
        <rFont val="仿宋_GB2312"/>
        <family val="3"/>
        <charset val="134"/>
      </rPr>
      <t>土地面积</t>
    </r>
    <phoneticPr fontId="8" type="noConversion"/>
  </si>
  <si>
    <r>
      <rPr>
        <sz val="10"/>
        <color indexed="8"/>
        <rFont val="仿宋_GB2312"/>
        <family val="3"/>
        <charset val="134"/>
      </rPr>
      <t>建筑面积</t>
    </r>
    <phoneticPr fontId="8" type="noConversion"/>
  </si>
  <si>
    <r>
      <rPr>
        <sz val="10"/>
        <color indexed="8"/>
        <rFont val="仿宋_GB2312"/>
        <family val="3"/>
        <charset val="134"/>
      </rPr>
      <t>人防是否参与分摊</t>
    </r>
    <phoneticPr fontId="8" type="noConversion"/>
  </si>
  <si>
    <r>
      <rPr>
        <b/>
        <sz val="16"/>
        <color indexed="10"/>
        <rFont val="仿宋_GB2312"/>
        <family val="3"/>
        <charset val="134"/>
      </rPr>
      <t>抵押物清单</t>
    </r>
    <phoneticPr fontId="8" type="noConversion"/>
  </si>
  <si>
    <r>
      <rPr>
        <sz val="10"/>
        <color indexed="8"/>
        <rFont val="仿宋_GB2312"/>
        <family val="3"/>
        <charset val="134"/>
      </rPr>
      <t>测绘分摊土地面积</t>
    </r>
    <phoneticPr fontId="8" type="noConversion"/>
  </si>
  <si>
    <r>
      <rPr>
        <sz val="10"/>
        <color indexed="8"/>
        <rFont val="仿宋_GB2312"/>
        <family val="3"/>
        <charset val="134"/>
      </rPr>
      <t>建筑面积合计</t>
    </r>
    <phoneticPr fontId="10" type="noConversion"/>
  </si>
  <si>
    <r>
      <rPr>
        <sz val="10"/>
        <color indexed="8"/>
        <rFont val="仿宋_GB2312"/>
        <family val="3"/>
        <charset val="134"/>
      </rPr>
      <t>（分摊）土地面积</t>
    </r>
    <phoneticPr fontId="10" type="noConversion"/>
  </si>
  <si>
    <r>
      <rPr>
        <sz val="10"/>
        <color indexed="8"/>
        <rFont val="仿宋_GB2312"/>
        <family val="3"/>
        <charset val="134"/>
      </rPr>
      <t>土地使用权证号</t>
    </r>
    <phoneticPr fontId="10" type="noConversion"/>
  </si>
  <si>
    <r>
      <rPr>
        <sz val="10"/>
        <color indexed="8"/>
        <rFont val="仿宋_GB2312"/>
        <family val="3"/>
        <charset val="134"/>
      </rPr>
      <t>建筑面积依据</t>
    </r>
    <phoneticPr fontId="10"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</si>
  <si>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10" type="noConversion"/>
  </si>
  <si>
    <r>
      <rPr>
        <sz val="10"/>
        <color indexed="8"/>
        <rFont val="仿宋_GB2312"/>
        <family val="3"/>
        <charset val="134"/>
      </rPr>
      <t>是否为抵押范围</t>
    </r>
    <phoneticPr fontId="10" type="noConversion"/>
  </si>
  <si>
    <r>
      <rPr>
        <sz val="10"/>
        <color indexed="8"/>
        <rFont val="仿宋_GB2312"/>
        <family val="3"/>
        <charset val="134"/>
      </rPr>
      <t>（分摊）土地面积</t>
    </r>
    <phoneticPr fontId="10" type="noConversion"/>
  </si>
  <si>
    <r>
      <rPr>
        <sz val="10"/>
        <color indexed="8"/>
        <rFont val="仿宋_GB2312"/>
        <family val="3"/>
        <charset val="134"/>
      </rPr>
      <t>楼基面积</t>
    </r>
    <phoneticPr fontId="10" type="noConversion"/>
  </si>
  <si>
    <r>
      <rPr>
        <sz val="10"/>
        <color indexed="8"/>
        <rFont val="仿宋_GB2312"/>
        <family val="3"/>
        <charset val="134"/>
      </rPr>
      <t>建筑面积（含人防）</t>
    </r>
    <phoneticPr fontId="10" type="noConversion"/>
  </si>
  <si>
    <r>
      <rPr>
        <sz val="10"/>
        <color indexed="8"/>
        <rFont val="仿宋_GB2312"/>
        <family val="3"/>
        <charset val="134"/>
      </rPr>
      <t>不在估价范围内的项目</t>
    </r>
    <phoneticPr fontId="8" type="noConversion"/>
  </si>
  <si>
    <r>
      <rPr>
        <sz val="10"/>
        <color indexed="8"/>
        <rFont val="仿宋_GB2312"/>
        <family val="3"/>
        <charset val="134"/>
      </rPr>
      <t>土地使用权证号</t>
    </r>
    <phoneticPr fontId="10" type="noConversion"/>
  </si>
  <si>
    <r>
      <rPr>
        <sz val="10"/>
        <color indexed="8"/>
        <rFont val="仿宋_GB2312"/>
        <family val="3"/>
        <charset val="134"/>
      </rPr>
      <t>建筑面积依据</t>
    </r>
    <phoneticPr fontId="10"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</si>
  <si>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10" type="noConversion"/>
  </si>
  <si>
    <r>
      <rPr>
        <sz val="10"/>
        <color indexed="8"/>
        <rFont val="仿宋_GB2312"/>
        <family val="3"/>
        <charset val="134"/>
      </rPr>
      <t>抵押物</t>
    </r>
    <phoneticPr fontId="8" type="noConversion"/>
  </si>
  <si>
    <r>
      <rPr>
        <sz val="10"/>
        <color indexed="8"/>
        <rFont val="仿宋_GB2312"/>
        <family val="3"/>
        <charset val="134"/>
      </rPr>
      <t>合计</t>
    </r>
    <phoneticPr fontId="8"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</si>
  <si>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10"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</si>
  <si>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10" type="noConversion"/>
  </si>
  <si>
    <r>
      <rPr>
        <sz val="10"/>
        <color indexed="8"/>
        <rFont val="仿宋_GB2312"/>
        <family val="3"/>
        <charset val="134"/>
      </rPr>
      <t>文字说明</t>
    </r>
    <phoneticPr fontId="8" type="noConversion"/>
  </si>
  <si>
    <r>
      <rPr>
        <sz val="10"/>
        <color indexed="8"/>
        <rFont val="仿宋_GB2312"/>
        <family val="3"/>
        <charset val="134"/>
      </rPr>
      <t>（分摊）土地面积</t>
    </r>
    <phoneticPr fontId="8" type="noConversion"/>
  </si>
  <si>
    <r>
      <rPr>
        <sz val="10"/>
        <color indexed="8"/>
        <rFont val="仿宋_GB2312"/>
        <family val="3"/>
        <charset val="134"/>
      </rPr>
      <t>建筑面积</t>
    </r>
    <phoneticPr fontId="8" type="noConversion"/>
  </si>
  <si>
    <r>
      <rPr>
        <sz val="10"/>
        <color indexed="8"/>
        <rFont val="仿宋_GB2312"/>
        <family val="3"/>
        <charset val="134"/>
      </rPr>
      <t>小计</t>
    </r>
    <phoneticPr fontId="8" type="noConversion"/>
  </si>
  <si>
    <r>
      <rPr>
        <sz val="10"/>
        <color indexed="8"/>
        <rFont val="仿宋_GB2312"/>
        <family val="3"/>
        <charset val="134"/>
      </rPr>
      <t>地上</t>
    </r>
    <phoneticPr fontId="8" type="noConversion"/>
  </si>
  <si>
    <r>
      <rPr>
        <sz val="10"/>
        <color indexed="8"/>
        <rFont val="仿宋_GB2312"/>
        <family val="3"/>
        <charset val="134"/>
      </rPr>
      <t>地下</t>
    </r>
    <phoneticPr fontId="8" type="noConversion"/>
  </si>
  <si>
    <r>
      <rPr>
        <sz val="10"/>
        <color indexed="8"/>
        <rFont val="仿宋_GB2312"/>
        <family val="3"/>
        <charset val="134"/>
      </rPr>
      <t>地上</t>
    </r>
    <phoneticPr fontId="8" type="noConversion"/>
  </si>
  <si>
    <r>
      <rPr>
        <sz val="10"/>
        <color indexed="8"/>
        <rFont val="仿宋_GB2312"/>
        <family val="3"/>
        <charset val="134"/>
      </rPr>
      <t>地下</t>
    </r>
    <phoneticPr fontId="8" type="noConversion"/>
  </si>
  <si>
    <r>
      <rPr>
        <sz val="10"/>
        <color indexed="8"/>
        <rFont val="仿宋_GB2312"/>
        <family val="3"/>
        <charset val="134"/>
      </rPr>
      <t>小计</t>
    </r>
    <phoneticPr fontId="8"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</si>
  <si>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8" type="noConversion"/>
  </si>
  <si>
    <r>
      <rPr>
        <sz val="10"/>
        <color indexed="8"/>
        <rFont val="仿宋_GB2312"/>
        <family val="3"/>
        <charset val="134"/>
      </rPr>
      <t>合计</t>
    </r>
    <phoneticPr fontId="8" type="noConversion"/>
  </si>
  <si>
    <r>
      <rPr>
        <sz val="10"/>
        <color indexed="8"/>
        <rFont val="仿宋_GB2312"/>
        <family val="3"/>
        <charset val="134"/>
      </rPr>
      <t>经营性用途</t>
    </r>
    <phoneticPr fontId="10" type="noConversion"/>
  </si>
  <si>
    <r>
      <rPr>
        <sz val="10"/>
        <color indexed="8"/>
        <rFont val="仿宋_GB2312"/>
        <family val="3"/>
        <charset val="134"/>
      </rPr>
      <t>非经营性用途</t>
    </r>
    <phoneticPr fontId="10" type="noConversion"/>
  </si>
  <si>
    <r>
      <rPr>
        <sz val="10"/>
        <color indexed="8"/>
        <rFont val="仿宋_GB2312"/>
        <family val="3"/>
        <charset val="134"/>
      </rPr>
      <t>设备及其他</t>
    </r>
    <phoneticPr fontId="8" type="noConversion"/>
  </si>
  <si>
    <r>
      <rPr>
        <sz val="10"/>
        <color indexed="8"/>
        <rFont val="仿宋_GB2312"/>
        <family val="3"/>
        <charset val="134"/>
      </rPr>
      <t>未注明</t>
    </r>
    <phoneticPr fontId="8" type="noConversion"/>
  </si>
  <si>
    <r>
      <rPr>
        <sz val="10"/>
        <color indexed="8"/>
        <rFont val="仿宋_GB2312"/>
        <family val="3"/>
        <charset val="134"/>
      </rPr>
      <t>总值</t>
    </r>
    <phoneticPr fontId="8" type="noConversion"/>
  </si>
  <si>
    <r>
      <rPr>
        <sz val="10"/>
        <color indexed="8"/>
        <rFont val="仿宋_GB2312"/>
        <family val="3"/>
        <charset val="134"/>
      </rPr>
      <t>扣减值</t>
    </r>
    <phoneticPr fontId="8" type="noConversion"/>
  </si>
  <si>
    <r>
      <rPr>
        <b/>
        <sz val="14"/>
        <color indexed="10"/>
        <rFont val="仿宋_GB2312"/>
        <family val="3"/>
        <charset val="134"/>
      </rPr>
      <t>数据汇总表</t>
    </r>
    <phoneticPr fontId="12" type="noConversion"/>
  </si>
  <si>
    <r>
      <rPr>
        <b/>
        <sz val="11"/>
        <color indexed="8"/>
        <rFont val="仿宋_GB2312"/>
        <family val="3"/>
        <charset val="134"/>
      </rPr>
      <t>估价对象</t>
    </r>
    <phoneticPr fontId="12" type="noConversion"/>
  </si>
  <si>
    <r>
      <rPr>
        <b/>
        <sz val="11"/>
        <color indexed="8"/>
        <rFont val="仿宋_GB2312"/>
        <family val="3"/>
        <charset val="134"/>
      </rPr>
      <t>土地面积</t>
    </r>
    <phoneticPr fontId="15" type="noConversion"/>
  </si>
  <si>
    <r>
      <rPr>
        <b/>
        <sz val="11"/>
        <rFont val="仿宋_GB2312"/>
        <family val="3"/>
        <charset val="134"/>
      </rPr>
      <t>建筑面积</t>
    </r>
    <phoneticPr fontId="15" type="noConversion"/>
  </si>
  <si>
    <r>
      <rPr>
        <b/>
        <sz val="11"/>
        <color indexed="8"/>
        <rFont val="仿宋_GB2312"/>
        <family val="3"/>
        <charset val="134"/>
      </rPr>
      <t>面积总计</t>
    </r>
    <phoneticPr fontId="12" type="noConversion"/>
  </si>
  <si>
    <r>
      <t>1.</t>
    </r>
    <r>
      <rPr>
        <sz val="11"/>
        <color indexed="8"/>
        <rFont val="仿宋_GB2312"/>
        <family val="3"/>
        <charset val="134"/>
      </rPr>
      <t>其中：</t>
    </r>
    <phoneticPr fontId="12" type="noConversion"/>
  </si>
  <si>
    <r>
      <rPr>
        <sz val="11"/>
        <color indexed="8"/>
        <rFont val="仿宋_GB2312"/>
        <family val="3"/>
        <charset val="134"/>
      </rPr>
      <t>非住宅</t>
    </r>
    <phoneticPr fontId="12" type="noConversion"/>
  </si>
  <si>
    <r>
      <t>2.</t>
    </r>
    <r>
      <rPr>
        <sz val="11"/>
        <color indexed="8"/>
        <rFont val="仿宋_GB2312"/>
        <family val="3"/>
        <charset val="134"/>
      </rPr>
      <t>其中：</t>
    </r>
    <phoneticPr fontId="12" type="noConversion"/>
  </si>
  <si>
    <r>
      <rPr>
        <sz val="11"/>
        <color indexed="8"/>
        <rFont val="仿宋_GB2312"/>
        <family val="3"/>
        <charset val="134"/>
      </rPr>
      <t>计出让部分</t>
    </r>
    <phoneticPr fontId="15" type="noConversion"/>
  </si>
  <si>
    <r>
      <rPr>
        <sz val="11"/>
        <color indexed="8"/>
        <rFont val="仿宋_GB2312"/>
        <family val="3"/>
        <charset val="134"/>
      </rPr>
      <t>地上经营性用途</t>
    </r>
    <phoneticPr fontId="12" type="noConversion"/>
  </si>
  <si>
    <r>
      <rPr>
        <sz val="11"/>
        <color indexed="8"/>
        <rFont val="仿宋_GB2312"/>
        <family val="3"/>
        <charset val="134"/>
      </rPr>
      <t>地上其他</t>
    </r>
    <phoneticPr fontId="12" type="noConversion"/>
  </si>
  <si>
    <r>
      <rPr>
        <sz val="11"/>
        <color indexed="8"/>
        <rFont val="仿宋_GB2312"/>
        <family val="3"/>
        <charset val="134"/>
      </rPr>
      <t>地下商业</t>
    </r>
    <phoneticPr fontId="12" type="noConversion"/>
  </si>
  <si>
    <r>
      <rPr>
        <sz val="11"/>
        <color indexed="8"/>
        <rFont val="仿宋_GB2312"/>
        <family val="3"/>
        <charset val="134"/>
      </rPr>
      <t>地下仓储</t>
    </r>
    <phoneticPr fontId="12" type="noConversion"/>
  </si>
  <si>
    <r>
      <rPr>
        <sz val="11"/>
        <color indexed="8"/>
        <rFont val="仿宋_GB2312"/>
        <family val="3"/>
        <charset val="134"/>
      </rPr>
      <t>小计</t>
    </r>
    <phoneticPr fontId="12" type="noConversion"/>
  </si>
  <si>
    <r>
      <t>3.</t>
    </r>
    <r>
      <rPr>
        <sz val="11"/>
        <color indexed="8"/>
        <rFont val="仿宋_GB2312"/>
        <family val="3"/>
        <charset val="134"/>
      </rPr>
      <t>其中：</t>
    </r>
    <phoneticPr fontId="15" type="noConversion"/>
  </si>
  <si>
    <r>
      <rPr>
        <sz val="11"/>
        <color indexed="8"/>
        <rFont val="仿宋_GB2312"/>
        <family val="3"/>
        <charset val="134"/>
      </rPr>
      <t>类别</t>
    </r>
    <phoneticPr fontId="12" type="noConversion"/>
  </si>
  <si>
    <r>
      <rPr>
        <b/>
        <sz val="11"/>
        <color indexed="8"/>
        <rFont val="仿宋_GB2312"/>
        <family val="3"/>
        <charset val="134"/>
      </rPr>
      <t>分摊原则：</t>
    </r>
    <phoneticPr fontId="12" type="noConversion"/>
  </si>
  <si>
    <r>
      <rPr>
        <b/>
        <sz val="11"/>
        <color indexed="8"/>
        <rFont val="仿宋_GB2312"/>
        <family val="3"/>
        <charset val="134"/>
      </rPr>
      <t>分摊非经营性用途用房</t>
    </r>
    <phoneticPr fontId="12" type="noConversion"/>
  </si>
  <si>
    <r>
      <rPr>
        <sz val="11"/>
        <rFont val="仿宋_GB2312"/>
        <family val="3"/>
        <charset val="134"/>
      </rPr>
      <t>合计</t>
    </r>
    <phoneticPr fontId="12" type="noConversion"/>
  </si>
  <si>
    <r>
      <rPr>
        <sz val="11"/>
        <color indexed="8"/>
        <rFont val="仿宋_GB2312"/>
        <family val="3"/>
        <charset val="134"/>
      </rPr>
      <t>地上</t>
    </r>
    <phoneticPr fontId="12" type="noConversion"/>
  </si>
  <si>
    <r>
      <rPr>
        <sz val="11"/>
        <color indexed="8"/>
        <rFont val="仿宋_GB2312"/>
        <family val="3"/>
        <charset val="134"/>
      </rPr>
      <t>地下</t>
    </r>
    <phoneticPr fontId="12" type="noConversion"/>
  </si>
  <si>
    <r>
      <rPr>
        <sz val="11"/>
        <color indexed="8"/>
        <rFont val="仿宋_GB2312"/>
        <family val="3"/>
        <charset val="134"/>
      </rPr>
      <t>土地面积</t>
    </r>
    <phoneticPr fontId="12" type="noConversion"/>
  </si>
  <si>
    <r>
      <rPr>
        <sz val="11"/>
        <color indexed="8"/>
        <rFont val="仿宋_GB2312"/>
        <family val="3"/>
        <charset val="134"/>
      </rPr>
      <t>建筑面积</t>
    </r>
    <phoneticPr fontId="12" type="noConversion"/>
  </si>
  <si>
    <r>
      <rPr>
        <sz val="11"/>
        <color indexed="8"/>
        <rFont val="仿宋_GB2312"/>
        <family val="3"/>
        <charset val="134"/>
      </rPr>
      <t>经营性</t>
    </r>
  </si>
  <si>
    <r>
      <rPr>
        <sz val="11"/>
        <color indexed="8"/>
        <rFont val="仿宋_GB2312"/>
        <family val="3"/>
        <charset val="134"/>
      </rPr>
      <t>经营性</t>
    </r>
    <phoneticPr fontId="12" type="noConversion"/>
  </si>
  <si>
    <r>
      <rPr>
        <sz val="11"/>
        <color indexed="8"/>
        <rFont val="仿宋_GB2312"/>
        <family val="3"/>
        <charset val="134"/>
      </rPr>
      <t>非经营性</t>
    </r>
    <phoneticPr fontId="15" type="noConversion"/>
  </si>
  <si>
    <r>
      <rPr>
        <sz val="11"/>
        <color indexed="8"/>
        <rFont val="仿宋_GB2312"/>
        <family val="3"/>
        <charset val="134"/>
      </rPr>
      <t>设备及其他</t>
    </r>
    <phoneticPr fontId="12" type="noConversion"/>
  </si>
  <si>
    <r>
      <rPr>
        <b/>
        <sz val="11"/>
        <color indexed="8"/>
        <rFont val="仿宋_GB2312"/>
        <family val="3"/>
        <charset val="134"/>
      </rPr>
      <t>合计</t>
    </r>
    <phoneticPr fontId="12" type="noConversion"/>
  </si>
  <si>
    <r>
      <rPr>
        <sz val="11"/>
        <color indexed="8"/>
        <rFont val="仿宋_GB2312"/>
        <family val="3"/>
        <charset val="134"/>
      </rPr>
      <t>住宅</t>
    </r>
    <phoneticPr fontId="12" type="noConversion"/>
  </si>
  <si>
    <r>
      <rPr>
        <b/>
        <sz val="11"/>
        <color indexed="8"/>
        <rFont val="仿宋_GB2312"/>
        <family val="3"/>
        <charset val="134"/>
      </rPr>
      <t>建筑面积</t>
    </r>
    <phoneticPr fontId="15"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</si>
  <si>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12"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</si>
  <si>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12" type="noConversion"/>
  </si>
  <si>
    <r>
      <rPr>
        <b/>
        <sz val="14"/>
        <color indexed="10"/>
        <rFont val="楷体_GB2312"/>
        <family val="3"/>
        <charset val="134"/>
      </rPr>
      <t>数据取费表</t>
    </r>
    <phoneticPr fontId="8"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</si>
  <si>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8" type="noConversion"/>
  </si>
  <si>
    <r>
      <rPr>
        <sz val="11"/>
        <color indexed="8"/>
        <rFont val="楷体_GB2312"/>
        <family val="3"/>
        <charset val="134"/>
      </rPr>
      <t>类别</t>
    </r>
    <phoneticPr fontId="8" type="noConversion"/>
  </si>
  <si>
    <r>
      <rPr>
        <sz val="11"/>
        <color indexed="8"/>
        <rFont val="楷体_GB2312"/>
        <family val="3"/>
        <charset val="134"/>
      </rPr>
      <t>地类判定</t>
    </r>
    <phoneticPr fontId="8" type="noConversion"/>
  </si>
  <si>
    <r>
      <rPr>
        <sz val="11"/>
        <rFont val="楷体_GB2312"/>
        <family val="3"/>
        <charset val="134"/>
      </rPr>
      <t>法定最高</t>
    </r>
    <r>
      <rPr>
        <sz val="11"/>
        <rFont val="Arial"/>
        <family val="2"/>
      </rPr>
      <t>/</t>
    </r>
    <r>
      <rPr>
        <sz val="11"/>
        <rFont val="楷体_GB2312"/>
        <family val="3"/>
        <charset val="134"/>
      </rPr>
      <t>出让年限</t>
    </r>
    <phoneticPr fontId="8" type="noConversion"/>
  </si>
  <si>
    <r>
      <rPr>
        <sz val="11"/>
        <color indexed="8"/>
        <rFont val="楷体_GB2312"/>
        <family val="3"/>
        <charset val="134"/>
      </rPr>
      <t>终止日期</t>
    </r>
    <phoneticPr fontId="8" type="noConversion"/>
  </si>
  <si>
    <r>
      <rPr>
        <sz val="11"/>
        <color indexed="8"/>
        <rFont val="楷体_GB2312"/>
        <family val="3"/>
        <charset val="134"/>
      </rPr>
      <t>剩余土地使用年限</t>
    </r>
    <phoneticPr fontId="8" type="noConversion"/>
  </si>
  <si>
    <r>
      <rPr>
        <sz val="11"/>
        <color indexed="8"/>
        <rFont val="楷体_GB2312"/>
        <family val="3"/>
        <charset val="134"/>
      </rPr>
      <t>年期修正系数</t>
    </r>
    <phoneticPr fontId="8"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</si>
  <si>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8" type="noConversion"/>
  </si>
  <si>
    <r>
      <rPr>
        <sz val="11"/>
        <color indexed="8"/>
        <rFont val="楷体_GB2312"/>
        <family val="3"/>
        <charset val="134"/>
      </rPr>
      <t>建筑面积</t>
    </r>
    <phoneticPr fontId="9" type="noConversion"/>
  </si>
  <si>
    <r>
      <rPr>
        <sz val="11"/>
        <color indexed="8"/>
        <rFont val="楷体_GB2312"/>
        <family val="3"/>
        <charset val="134"/>
      </rPr>
      <t>单方造价</t>
    </r>
    <phoneticPr fontId="9" type="noConversion"/>
  </si>
  <si>
    <r>
      <rPr>
        <sz val="11"/>
        <color indexed="8"/>
        <rFont val="楷体_GB2312"/>
        <family val="3"/>
        <charset val="134"/>
      </rPr>
      <t>建安总额</t>
    </r>
    <phoneticPr fontId="9" type="noConversion"/>
  </si>
  <si>
    <r>
      <rPr>
        <sz val="11"/>
        <color indexed="8"/>
        <rFont val="楷体_GB2312"/>
        <family val="3"/>
        <charset val="134"/>
      </rPr>
      <t>在建建安</t>
    </r>
    <phoneticPr fontId="9" type="noConversion"/>
  </si>
  <si>
    <r>
      <rPr>
        <sz val="11"/>
        <color indexed="8"/>
        <rFont val="楷体_GB2312"/>
        <family val="3"/>
        <charset val="134"/>
      </rPr>
      <t>续建建安</t>
    </r>
    <phoneticPr fontId="9" type="noConversion"/>
  </si>
  <si>
    <r>
      <rPr>
        <sz val="11"/>
        <color indexed="8"/>
        <rFont val="楷体_GB2312"/>
        <family val="3"/>
        <charset val="134"/>
      </rPr>
      <t>利润</t>
    </r>
    <phoneticPr fontId="8" type="noConversion"/>
  </si>
  <si>
    <r>
      <rPr>
        <sz val="11"/>
        <color indexed="8"/>
        <rFont val="楷体_GB2312"/>
        <family val="3"/>
        <charset val="134"/>
      </rPr>
      <t>分摊土地面积（经营性）</t>
    </r>
    <phoneticPr fontId="8" type="noConversion"/>
  </si>
  <si>
    <r>
      <rPr>
        <sz val="11"/>
        <color indexed="8"/>
        <rFont val="楷体_GB2312"/>
        <family val="3"/>
        <charset val="134"/>
      </rPr>
      <t>总建安（分摊非经营）</t>
    </r>
    <phoneticPr fontId="8" type="noConversion"/>
  </si>
  <si>
    <r>
      <rPr>
        <sz val="11"/>
        <color indexed="8"/>
        <rFont val="楷体_GB2312"/>
        <family val="3"/>
        <charset val="134"/>
      </rPr>
      <t>租金</t>
    </r>
    <phoneticPr fontId="8" type="noConversion"/>
  </si>
  <si>
    <r>
      <rPr>
        <sz val="11"/>
        <color indexed="8"/>
        <rFont val="楷体_GB2312"/>
        <family val="3"/>
        <charset val="134"/>
      </rPr>
      <t>年租金增长率</t>
    </r>
    <phoneticPr fontId="8" type="noConversion"/>
  </si>
  <si>
    <r>
      <rPr>
        <sz val="11"/>
        <color indexed="8"/>
        <rFont val="楷体_GB2312"/>
        <family val="3"/>
        <charset val="134"/>
      </rPr>
      <t>空置率</t>
    </r>
    <phoneticPr fontId="8" type="noConversion"/>
  </si>
  <si>
    <r>
      <rPr>
        <sz val="11"/>
        <color indexed="8"/>
        <rFont val="楷体_GB2312"/>
        <family val="3"/>
        <charset val="134"/>
      </rPr>
      <t>成新度</t>
    </r>
    <phoneticPr fontId="8" type="noConversion"/>
  </si>
  <si>
    <r>
      <rPr>
        <sz val="11"/>
        <color indexed="8"/>
        <rFont val="楷体_GB2312"/>
        <family val="3"/>
        <charset val="134"/>
      </rPr>
      <t>租金</t>
    </r>
    <phoneticPr fontId="8" type="noConversion"/>
  </si>
  <si>
    <r>
      <rPr>
        <sz val="11"/>
        <color indexed="8"/>
        <rFont val="楷体_GB2312"/>
        <family val="3"/>
        <charset val="134"/>
      </rPr>
      <t>剩余租赁期</t>
    </r>
    <phoneticPr fontId="8" type="noConversion"/>
  </si>
  <si>
    <r>
      <rPr>
        <sz val="11"/>
        <color indexed="8"/>
        <rFont val="楷体_GB2312"/>
        <family val="3"/>
        <charset val="134"/>
      </rPr>
      <t>租赁期外收益期</t>
    </r>
    <phoneticPr fontId="8"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</si>
  <si>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8" type="noConversion"/>
  </si>
  <si>
    <r>
      <rPr>
        <sz val="11"/>
        <color indexed="8"/>
        <rFont val="楷体_GB2312"/>
        <family val="3"/>
        <charset val="134"/>
      </rPr>
      <t>维修费率</t>
    </r>
    <phoneticPr fontId="8" type="noConversion"/>
  </si>
  <si>
    <r>
      <rPr>
        <sz val="11"/>
        <color indexed="8"/>
        <rFont val="楷体_GB2312"/>
        <family val="3"/>
        <charset val="134"/>
      </rPr>
      <t>保险费率</t>
    </r>
    <phoneticPr fontId="8" type="noConversion"/>
  </si>
  <si>
    <r>
      <rPr>
        <sz val="11"/>
        <color indexed="8"/>
        <rFont val="楷体_GB2312"/>
        <family val="3"/>
        <charset val="134"/>
      </rPr>
      <t>管理费率</t>
    </r>
    <phoneticPr fontId="8" type="noConversion"/>
  </si>
  <si>
    <r>
      <rPr>
        <b/>
        <sz val="11"/>
        <color indexed="8"/>
        <rFont val="楷体_GB2312"/>
        <family val="3"/>
        <charset val="134"/>
      </rPr>
      <t>合计</t>
    </r>
    <phoneticPr fontId="9" type="noConversion"/>
  </si>
  <si>
    <r>
      <rPr>
        <b/>
        <sz val="11"/>
        <color indexed="8"/>
        <rFont val="楷体_GB2312"/>
        <family val="3"/>
        <charset val="134"/>
      </rPr>
      <t>开发期</t>
    </r>
    <phoneticPr fontId="8" type="noConversion"/>
  </si>
  <si>
    <r>
      <rPr>
        <sz val="11"/>
        <rFont val="楷体_GB2312"/>
        <family val="3"/>
        <charset val="134"/>
      </rPr>
      <t>土地开发期</t>
    </r>
  </si>
  <si>
    <r>
      <rPr>
        <sz val="11"/>
        <rFont val="楷体_GB2312"/>
        <family val="3"/>
        <charset val="134"/>
      </rPr>
      <t>建设期</t>
    </r>
    <phoneticPr fontId="9" type="noConversion"/>
  </si>
  <si>
    <r>
      <rPr>
        <sz val="11"/>
        <color indexed="8"/>
        <rFont val="楷体_GB2312"/>
        <family val="3"/>
        <charset val="134"/>
      </rPr>
      <t>已建工期</t>
    </r>
    <phoneticPr fontId="9" type="noConversion"/>
  </si>
  <si>
    <r>
      <rPr>
        <sz val="11"/>
        <rFont val="楷体_GB2312"/>
        <family val="3"/>
        <charset val="134"/>
      </rPr>
      <t>项目开发期</t>
    </r>
    <phoneticPr fontId="9" type="noConversion"/>
  </si>
  <si>
    <r>
      <rPr>
        <sz val="11"/>
        <color indexed="8"/>
        <rFont val="楷体_GB2312"/>
        <family val="3"/>
        <charset val="134"/>
      </rPr>
      <t>项目已运行</t>
    </r>
    <phoneticPr fontId="9" type="noConversion"/>
  </si>
  <si>
    <r>
      <rPr>
        <sz val="11"/>
        <rFont val="楷体_GB2312"/>
        <family val="3"/>
        <charset val="134"/>
      </rPr>
      <t>续建工期</t>
    </r>
    <phoneticPr fontId="9" type="noConversion"/>
  </si>
  <si>
    <r>
      <rPr>
        <b/>
        <sz val="11"/>
        <color indexed="8"/>
        <rFont val="楷体_GB2312"/>
        <family val="3"/>
        <charset val="134"/>
      </rPr>
      <t>其他取费</t>
    </r>
    <phoneticPr fontId="8" type="noConversion"/>
  </si>
  <si>
    <r>
      <rPr>
        <sz val="11"/>
        <color indexed="8"/>
        <rFont val="楷体_GB2312"/>
        <family val="3"/>
        <charset val="134"/>
      </rPr>
      <t>取值</t>
    </r>
    <phoneticPr fontId="8" type="noConversion"/>
  </si>
  <si>
    <r>
      <rPr>
        <sz val="11"/>
        <color indexed="8"/>
        <rFont val="楷体_GB2312"/>
        <family val="3"/>
        <charset val="134"/>
      </rPr>
      <t>备注</t>
    </r>
    <phoneticPr fontId="8" type="noConversion"/>
  </si>
  <si>
    <r>
      <rPr>
        <sz val="11"/>
        <color indexed="8"/>
        <rFont val="楷体_GB2312"/>
        <family val="3"/>
        <charset val="134"/>
      </rPr>
      <t>红线外市政基础设施（总）</t>
    </r>
    <phoneticPr fontId="8" type="noConversion"/>
  </si>
  <si>
    <r>
      <rPr>
        <sz val="11"/>
        <color indexed="8"/>
        <rFont val="楷体_GB2312"/>
        <family val="3"/>
        <charset val="134"/>
      </rPr>
      <t>红线外市政基础设施（现状）</t>
    </r>
    <phoneticPr fontId="8" type="noConversion"/>
  </si>
  <si>
    <r>
      <rPr>
        <sz val="11"/>
        <color indexed="8"/>
        <rFont val="楷体_GB2312"/>
        <family val="3"/>
        <charset val="134"/>
      </rPr>
      <t>红线外市政基础设施（待完成）</t>
    </r>
    <phoneticPr fontId="8" type="noConversion"/>
  </si>
  <si>
    <r>
      <rPr>
        <sz val="11"/>
        <color indexed="8"/>
        <rFont val="楷体_GB2312"/>
        <family val="3"/>
        <charset val="134"/>
      </rPr>
      <t>红线内市政基础设施</t>
    </r>
    <phoneticPr fontId="8" type="noConversion"/>
  </si>
  <si>
    <r>
      <rPr>
        <sz val="11"/>
        <color indexed="8"/>
        <rFont val="楷体_GB2312"/>
        <family val="3"/>
        <charset val="134"/>
      </rPr>
      <t>建造成本中相关税费</t>
    </r>
    <phoneticPr fontId="8" type="noConversion"/>
  </si>
  <si>
    <r>
      <rPr>
        <sz val="11"/>
        <color indexed="8"/>
        <rFont val="楷体_GB2312"/>
        <family val="3"/>
        <charset val="134"/>
      </rPr>
      <t>勘察设计和前期工程费</t>
    </r>
    <phoneticPr fontId="8" type="noConversion"/>
  </si>
  <si>
    <r>
      <rPr>
        <sz val="11"/>
        <color indexed="8"/>
        <rFont val="楷体_GB2312"/>
        <family val="3"/>
        <charset val="134"/>
      </rPr>
      <t>公共配套设施费用</t>
    </r>
    <phoneticPr fontId="8" type="noConversion"/>
  </si>
  <si>
    <r>
      <rPr>
        <sz val="11"/>
        <color indexed="8"/>
        <rFont val="楷体_GB2312"/>
        <family val="3"/>
        <charset val="134"/>
      </rPr>
      <t>管理费用</t>
    </r>
    <phoneticPr fontId="8" type="noConversion"/>
  </si>
  <si>
    <r>
      <rPr>
        <sz val="11"/>
        <color indexed="8"/>
        <rFont val="楷体_GB2312"/>
        <family val="3"/>
        <charset val="134"/>
      </rPr>
      <t>销售费用</t>
    </r>
    <phoneticPr fontId="8"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</si>
  <si>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8" type="noConversion"/>
  </si>
  <si>
    <r>
      <rPr>
        <sz val="11"/>
        <color indexed="8"/>
        <rFont val="楷体_GB2312"/>
        <family val="3"/>
        <charset val="134"/>
      </rPr>
      <t>增值税</t>
    </r>
    <phoneticPr fontId="8" type="noConversion"/>
  </si>
  <si>
    <r>
      <rPr>
        <sz val="11"/>
        <color indexed="8"/>
        <rFont val="楷体_GB2312"/>
        <family val="3"/>
        <charset val="134"/>
      </rPr>
      <t>附加税合计</t>
    </r>
    <phoneticPr fontId="8" type="noConversion"/>
  </si>
  <si>
    <r>
      <rPr>
        <sz val="11"/>
        <color indexed="8"/>
        <rFont val="楷体_GB2312"/>
        <family val="3"/>
        <charset val="134"/>
      </rPr>
      <t>城市维护建设税</t>
    </r>
    <phoneticPr fontId="8" type="noConversion"/>
  </si>
  <si>
    <r>
      <rPr>
        <sz val="11"/>
        <color indexed="8"/>
        <rFont val="楷体_GB2312"/>
        <family val="3"/>
        <charset val="134"/>
      </rPr>
      <t>教育费附加</t>
    </r>
    <phoneticPr fontId="8" type="noConversion"/>
  </si>
  <si>
    <r>
      <rPr>
        <sz val="11"/>
        <color indexed="8"/>
        <rFont val="楷体_GB2312"/>
        <family val="3"/>
        <charset val="134"/>
      </rPr>
      <t>地方教育费附加</t>
    </r>
    <phoneticPr fontId="8" type="noConversion"/>
  </si>
  <si>
    <r>
      <rPr>
        <sz val="11"/>
        <color indexed="8"/>
        <rFont val="楷体_GB2312"/>
        <family val="3"/>
        <charset val="134"/>
      </rPr>
      <t>其他税种</t>
    </r>
    <phoneticPr fontId="8" type="noConversion"/>
  </si>
  <si>
    <r>
      <rPr>
        <sz val="11"/>
        <color indexed="8"/>
        <rFont val="楷体_GB2312"/>
        <family val="3"/>
        <charset val="134"/>
      </rPr>
      <t>契税</t>
    </r>
    <phoneticPr fontId="8" type="noConversion"/>
  </si>
  <si>
    <r>
      <rPr>
        <sz val="11"/>
        <color indexed="8"/>
        <rFont val="楷体_GB2312"/>
        <family val="3"/>
        <charset val="134"/>
      </rPr>
      <t>印花税</t>
    </r>
    <phoneticPr fontId="8"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</si>
  <si>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8"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</si>
  <si>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8" type="noConversion"/>
  </si>
  <si>
    <r>
      <rPr>
        <sz val="11"/>
        <color indexed="8"/>
        <rFont val="楷体_GB2312"/>
        <family val="3"/>
        <charset val="134"/>
      </rPr>
      <t>土地使用税</t>
    </r>
    <phoneticPr fontId="8" type="noConversion"/>
  </si>
  <si>
    <r>
      <rPr>
        <sz val="11"/>
        <color indexed="8"/>
        <rFont val="楷体_GB2312"/>
        <family val="3"/>
        <charset val="134"/>
      </rPr>
      <t>城镇土地纳税等级分级范围</t>
    </r>
    <phoneticPr fontId="8"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</si>
  <si>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</si>
  <si>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</si>
  <si>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</si>
  <si>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</si>
  <si>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</si>
  <si>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</si>
  <si>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3"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</si>
  <si>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</si>
  <si>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3"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</si>
  <si>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3"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</si>
  <si>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3"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</si>
  <si>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</si>
  <si>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3"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</si>
  <si>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3"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</si>
  <si>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</si>
  <si>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3"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</si>
  <si>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3"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</si>
  <si>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</si>
  <si>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3"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</si>
  <si>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3"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</si>
  <si>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</si>
  <si>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3"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</si>
  <si>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3"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</si>
  <si>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3"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</si>
  <si>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</si>
  <si>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</si>
  <si>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4" type="noConversion"/>
  </si>
  <si>
    <r>
      <rPr>
        <sz val="11"/>
        <color indexed="8"/>
        <rFont val="仿宋_GB2312"/>
        <family val="3"/>
        <charset val="134"/>
      </rPr>
      <t>总价</t>
    </r>
    <phoneticPr fontId="14" type="noConversion"/>
  </si>
  <si>
    <r>
      <rPr>
        <b/>
        <sz val="11"/>
        <color indexed="8"/>
        <rFont val="仿宋_GB2312"/>
        <family val="3"/>
        <charset val="134"/>
      </rPr>
      <t>权重结果</t>
    </r>
    <phoneticPr fontId="14" type="noConversion"/>
  </si>
  <si>
    <r>
      <rPr>
        <sz val="10"/>
        <color indexed="8"/>
        <rFont val="仿宋_GB2312"/>
        <family val="3"/>
        <charset val="134"/>
      </rPr>
      <t>万元</t>
    </r>
    <phoneticPr fontId="13" type="noConversion"/>
  </si>
  <si>
    <r>
      <rPr>
        <sz val="11"/>
        <color indexed="8"/>
        <rFont val="仿宋_GB2312"/>
        <family val="3"/>
        <charset val="134"/>
      </rPr>
      <t>楼面地价</t>
    </r>
    <phoneticPr fontId="14"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</si>
  <si>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4" type="noConversion"/>
  </si>
  <si>
    <r>
      <rPr>
        <sz val="11"/>
        <color indexed="8"/>
        <rFont val="仿宋_GB2312"/>
        <family val="3"/>
        <charset val="134"/>
      </rPr>
      <t>单位面积地价</t>
    </r>
    <phoneticPr fontId="14" type="noConversion"/>
  </si>
  <si>
    <r>
      <rPr>
        <b/>
        <sz val="11"/>
        <color indexed="8"/>
        <rFont val="仿宋_GB2312"/>
        <family val="3"/>
        <charset val="134"/>
      </rPr>
      <t>各方法结果差值</t>
    </r>
    <phoneticPr fontId="13"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</si>
  <si>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3"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</si>
  <si>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3" type="noConversion"/>
  </si>
  <si>
    <r>
      <rPr>
        <sz val="11"/>
        <color indexed="8"/>
        <rFont val="仿宋_GB2312"/>
        <family val="3"/>
        <charset val="134"/>
      </rPr>
      <t>楼面地价</t>
    </r>
  </si>
  <si>
    <r>
      <rPr>
        <sz val="11"/>
        <color indexed="10"/>
        <rFont val="仿宋_GB2312"/>
        <family val="3"/>
        <charset val="134"/>
      </rPr>
      <t>扣减项</t>
    </r>
    <phoneticPr fontId="13" type="noConversion"/>
  </si>
  <si>
    <r>
      <rPr>
        <sz val="11"/>
        <color indexed="10"/>
        <rFont val="仿宋_GB2312"/>
        <family val="3"/>
        <charset val="134"/>
      </rPr>
      <t>面积</t>
    </r>
    <phoneticPr fontId="13" type="noConversion"/>
  </si>
  <si>
    <r>
      <rPr>
        <sz val="11"/>
        <color indexed="10"/>
        <rFont val="仿宋_GB2312"/>
        <family val="3"/>
        <charset val="134"/>
      </rPr>
      <t>单价</t>
    </r>
    <phoneticPr fontId="13" type="noConversion"/>
  </si>
  <si>
    <r>
      <rPr>
        <sz val="11"/>
        <color indexed="10"/>
        <rFont val="仿宋_GB2312"/>
        <family val="3"/>
        <charset val="134"/>
      </rPr>
      <t>总值</t>
    </r>
    <phoneticPr fontId="13" type="noConversion"/>
  </si>
  <si>
    <r>
      <rPr>
        <sz val="11"/>
        <color indexed="10"/>
        <rFont val="仿宋_GB2312"/>
        <family val="3"/>
        <charset val="134"/>
      </rPr>
      <t>合计</t>
    </r>
    <phoneticPr fontId="13" type="noConversion"/>
  </si>
  <si>
    <r>
      <rPr>
        <b/>
        <sz val="11"/>
        <color indexed="8"/>
        <rFont val="仿宋_GB2312"/>
        <family val="3"/>
        <charset val="134"/>
      </rPr>
      <t>土地价格</t>
    </r>
    <phoneticPr fontId="14" type="noConversion"/>
  </si>
  <si>
    <r>
      <rPr>
        <b/>
        <sz val="11"/>
        <color indexed="8"/>
        <rFont val="仿宋_GB2312"/>
        <family val="3"/>
        <charset val="134"/>
      </rPr>
      <t>优先受偿情况</t>
    </r>
    <phoneticPr fontId="13" type="noConversion"/>
  </si>
  <si>
    <r>
      <rPr>
        <sz val="11"/>
        <color indexed="8"/>
        <rFont val="仿宋_GB2312"/>
        <family val="3"/>
        <charset val="134"/>
      </rPr>
      <t>已抵押担保数额</t>
    </r>
    <phoneticPr fontId="13"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</si>
  <si>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4" type="noConversion"/>
  </si>
  <si>
    <r>
      <rPr>
        <sz val="11"/>
        <color indexed="8"/>
        <rFont val="仿宋_GB2312"/>
        <family val="3"/>
        <charset val="134"/>
      </rPr>
      <t>拖欠工程款</t>
    </r>
    <phoneticPr fontId="13" type="noConversion"/>
  </si>
  <si>
    <r>
      <rPr>
        <sz val="11"/>
        <color indexed="8"/>
        <rFont val="仿宋_GB2312"/>
        <family val="3"/>
        <charset val="134"/>
      </rPr>
      <t>其他</t>
    </r>
    <phoneticPr fontId="13" type="noConversion"/>
  </si>
  <si>
    <r>
      <rPr>
        <sz val="11"/>
        <color indexed="8"/>
        <rFont val="仿宋_GB2312"/>
        <family val="3"/>
        <charset val="134"/>
      </rPr>
      <t>补交地价款</t>
    </r>
    <phoneticPr fontId="14" type="noConversion"/>
  </si>
  <si>
    <r>
      <rPr>
        <b/>
        <sz val="11"/>
        <color indexed="8"/>
        <rFont val="仿宋_GB2312"/>
        <family val="3"/>
        <charset val="134"/>
      </rPr>
      <t>补交地价款</t>
    </r>
    <phoneticPr fontId="13" type="noConversion"/>
  </si>
  <si>
    <r>
      <rPr>
        <sz val="11"/>
        <color indexed="10"/>
        <rFont val="仿宋_GB2312"/>
        <family val="3"/>
        <charset val="134"/>
      </rPr>
      <t>单价</t>
    </r>
    <phoneticPr fontId="13" type="noConversion"/>
  </si>
  <si>
    <r>
      <rPr>
        <sz val="11"/>
        <color indexed="10"/>
        <rFont val="仿宋_GB2312"/>
        <family val="3"/>
        <charset val="134"/>
      </rPr>
      <t>税费</t>
    </r>
    <phoneticPr fontId="13" type="noConversion"/>
  </si>
  <si>
    <r>
      <rPr>
        <sz val="11"/>
        <color indexed="10"/>
        <rFont val="仿宋_GB2312"/>
        <family val="3"/>
        <charset val="134"/>
      </rPr>
      <t>总值</t>
    </r>
    <phoneticPr fontId="13" type="noConversion"/>
  </si>
  <si>
    <r>
      <t>(</t>
    </r>
    <r>
      <rPr>
        <sz val="10"/>
        <color indexed="8"/>
        <rFont val="仿宋_GB2312"/>
        <family val="3"/>
        <charset val="134"/>
      </rPr>
      <t>列示计算过程</t>
    </r>
    <r>
      <rPr>
        <sz val="10"/>
        <color indexed="8"/>
        <rFont val="Arial"/>
        <family val="2"/>
      </rPr>
      <t>,</t>
    </r>
    <phoneticPr fontId="14" type="noConversion"/>
  </si>
  <si>
    <r>
      <rPr>
        <sz val="10"/>
        <color indexed="8"/>
        <rFont val="仿宋_GB2312"/>
        <family val="3"/>
        <charset val="134"/>
      </rPr>
      <t>不固定格式</t>
    </r>
    <r>
      <rPr>
        <sz val="10"/>
        <color indexed="8"/>
        <rFont val="Arial"/>
        <family val="2"/>
      </rPr>
      <t>)</t>
    </r>
    <phoneticPr fontId="14"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</si>
  <si>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</si>
  <si>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</si>
  <si>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</si>
  <si>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</si>
  <si>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</si>
  <si>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</si>
  <si>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4" type="noConversion"/>
  </si>
  <si>
    <r>
      <rPr>
        <b/>
        <sz val="12"/>
        <color indexed="8"/>
        <rFont val="仿宋_GB2312"/>
        <family val="3"/>
        <charset val="134"/>
      </rPr>
      <t>总额</t>
    </r>
    <phoneticPr fontId="14" type="noConversion"/>
  </si>
  <si>
    <r>
      <rPr>
        <b/>
        <sz val="12"/>
        <color indexed="8"/>
        <rFont val="仿宋_GB2312"/>
        <family val="3"/>
        <charset val="134"/>
      </rPr>
      <t>楼面地价</t>
    </r>
    <phoneticPr fontId="14" type="noConversion"/>
  </si>
  <si>
    <r>
      <rPr>
        <b/>
        <sz val="12"/>
        <color indexed="8"/>
        <rFont val="仿宋_GB2312"/>
        <family val="3"/>
        <charset val="134"/>
      </rPr>
      <t>单位面积地价</t>
    </r>
    <phoneticPr fontId="14" type="noConversion"/>
  </si>
  <si>
    <r>
      <rPr>
        <b/>
        <sz val="12"/>
        <color indexed="8"/>
        <rFont val="仿宋_GB2312"/>
        <family val="3"/>
        <charset val="134"/>
      </rPr>
      <t>每亩价格</t>
    </r>
    <phoneticPr fontId="14"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</si>
  <si>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</si>
  <si>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</si>
  <si>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</si>
  <si>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</si>
  <si>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</si>
  <si>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3"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</si>
  <si>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</si>
  <si>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8"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</si>
  <si>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3" type="noConversion"/>
  </si>
  <si>
    <r>
      <rPr>
        <b/>
        <sz val="10"/>
        <color indexed="8"/>
        <rFont val="仿宋_GB2312"/>
        <family val="3"/>
        <charset val="134"/>
      </rPr>
      <t>初审意见：</t>
    </r>
    <r>
      <rPr>
        <b/>
        <sz val="10"/>
        <color indexed="8"/>
        <rFont val="Arial"/>
        <family val="2"/>
      </rPr>
      <t xml:space="preserve">      </t>
    </r>
    <phoneticPr fontId="8"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</si>
  <si>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3" type="noConversion"/>
  </si>
  <si>
    <r>
      <rPr>
        <b/>
        <sz val="10"/>
        <color indexed="8"/>
        <rFont val="仿宋_GB2312"/>
        <family val="3"/>
        <charset val="134"/>
      </rPr>
      <t>终审意见：</t>
    </r>
    <r>
      <rPr>
        <b/>
        <sz val="10"/>
        <color indexed="8"/>
        <rFont val="Arial"/>
        <family val="2"/>
      </rPr>
      <t xml:space="preserve">      </t>
    </r>
    <phoneticPr fontId="8" type="noConversion"/>
  </si>
  <si>
    <r>
      <rPr>
        <b/>
        <sz val="14"/>
        <color indexed="10"/>
        <rFont val="仿宋_GB2312"/>
        <family val="3"/>
        <charset val="134"/>
      </rPr>
      <t>抵押净值计算</t>
    </r>
    <phoneticPr fontId="13"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</si>
  <si>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3" type="noConversion"/>
  </si>
  <si>
    <r>
      <rPr>
        <sz val="10"/>
        <color indexed="8"/>
        <rFont val="仿宋_GB2312"/>
        <family val="3"/>
        <charset val="134"/>
      </rPr>
      <t>按评估值的</t>
    </r>
    <phoneticPr fontId="13" type="noConversion"/>
  </si>
  <si>
    <r>
      <rPr>
        <sz val="10"/>
        <color indexed="8"/>
        <rFont val="仿宋_GB2312"/>
        <family val="3"/>
        <charset val="134"/>
      </rPr>
      <t>计算</t>
    </r>
    <phoneticPr fontId="13"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</si>
  <si>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</si>
  <si>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3" type="noConversion"/>
  </si>
  <si>
    <r>
      <rPr>
        <b/>
        <sz val="10"/>
        <color indexed="8"/>
        <rFont val="仿宋_GB2312"/>
        <family val="3"/>
        <charset val="134"/>
      </rPr>
      <t>估价对象基本情况</t>
    </r>
    <phoneticPr fontId="14" type="noConversion"/>
  </si>
  <si>
    <r>
      <rPr>
        <b/>
        <sz val="10"/>
        <color indexed="8"/>
        <rFont val="仿宋_GB2312"/>
        <family val="3"/>
        <charset val="134"/>
      </rPr>
      <t>税（费）种</t>
    </r>
    <phoneticPr fontId="13" type="noConversion"/>
  </si>
  <si>
    <r>
      <rPr>
        <sz val="10"/>
        <color indexed="8"/>
        <rFont val="仿宋_GB2312"/>
        <family val="3"/>
        <charset val="134"/>
      </rPr>
      <t>金额</t>
    </r>
    <phoneticPr fontId="13" type="noConversion"/>
  </si>
  <si>
    <r>
      <rPr>
        <sz val="10"/>
        <color indexed="8"/>
        <rFont val="仿宋_GB2312"/>
        <family val="3"/>
        <charset val="134"/>
      </rPr>
      <t>计算方法</t>
    </r>
    <phoneticPr fontId="13" type="noConversion"/>
  </si>
  <si>
    <r>
      <rPr>
        <b/>
        <sz val="10"/>
        <color indexed="8"/>
        <rFont val="仿宋_GB2312"/>
        <family val="3"/>
        <charset val="134"/>
      </rPr>
      <t>税（费）率</t>
    </r>
    <phoneticPr fontId="13" type="noConversion"/>
  </si>
  <si>
    <r>
      <rPr>
        <sz val="10"/>
        <color indexed="8"/>
        <rFont val="仿宋_GB2312"/>
        <family val="3"/>
        <charset val="134"/>
      </rPr>
      <t>备注</t>
    </r>
    <phoneticPr fontId="13" type="noConversion"/>
  </si>
  <si>
    <r>
      <rPr>
        <b/>
        <sz val="10"/>
        <color indexed="8"/>
        <rFont val="仿宋_GB2312"/>
        <family val="3"/>
        <charset val="134"/>
      </rPr>
      <t>估价对象</t>
    </r>
  </si>
  <si>
    <r>
      <t>1.</t>
    </r>
    <r>
      <rPr>
        <sz val="10"/>
        <color indexed="8"/>
        <rFont val="仿宋_GB2312"/>
        <family val="3"/>
        <charset val="134"/>
      </rPr>
      <t>增值税及附加</t>
    </r>
    <phoneticPr fontId="13" type="noConversion"/>
  </si>
  <si>
    <r>
      <rPr>
        <sz val="10"/>
        <color indexed="10"/>
        <rFont val="仿宋_GB2312"/>
        <family val="3"/>
        <charset val="134"/>
      </rPr>
      <t>属于免缴时请录入面缴类别</t>
    </r>
    <phoneticPr fontId="13"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</si>
  <si>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</si>
  <si>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</si>
  <si>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3"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</si>
  <si>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3" type="noConversion"/>
  </si>
  <si>
    <r>
      <rPr>
        <sz val="10"/>
        <color indexed="8"/>
        <rFont val="仿宋_GB2312"/>
        <family val="3"/>
        <charset val="134"/>
      </rPr>
      <t>免征</t>
    </r>
    <phoneticPr fontId="13" type="noConversion"/>
  </si>
  <si>
    <r>
      <rPr>
        <b/>
        <sz val="10"/>
        <color indexed="8"/>
        <rFont val="仿宋_GB2312"/>
        <family val="3"/>
        <charset val="134"/>
      </rPr>
      <t>评估总值</t>
    </r>
    <phoneticPr fontId="13"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</si>
  <si>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3" type="noConversion"/>
  </si>
  <si>
    <r>
      <rPr>
        <sz val="10"/>
        <color indexed="8"/>
        <rFont val="仿宋_GB2312"/>
        <family val="3"/>
        <charset val="134"/>
      </rPr>
      <t>个体工商户购买的住宅</t>
    </r>
    <phoneticPr fontId="13"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</si>
  <si>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3"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</si>
  <si>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3" type="noConversion"/>
  </si>
  <si>
    <r>
      <rPr>
        <sz val="10"/>
        <color indexed="8"/>
        <rFont val="仿宋_GB2312"/>
        <family val="3"/>
        <charset val="134"/>
      </rPr>
      <t>全额计税</t>
    </r>
    <phoneticPr fontId="13"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</si>
  <si>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</si>
  <si>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</si>
  <si>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</si>
  <si>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</si>
  <si>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</si>
  <si>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3"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</si>
  <si>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13" type="noConversion"/>
  </si>
  <si>
    <r>
      <rPr>
        <sz val="10"/>
        <color indexed="8"/>
        <rFont val="仿宋_GB2312"/>
        <family val="3"/>
        <charset val="134"/>
      </rPr>
      <t>增值税及附加</t>
    </r>
    <phoneticPr fontId="13"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</si>
  <si>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3"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</si>
  <si>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13" type="noConversion"/>
  </si>
  <si>
    <r>
      <rPr>
        <sz val="10"/>
        <color indexed="8"/>
        <rFont val="仿宋_GB2312"/>
        <family val="3"/>
        <charset val="134"/>
      </rPr>
      <t>差额计税</t>
    </r>
    <phoneticPr fontId="13" type="noConversion"/>
  </si>
  <si>
    <r>
      <rPr>
        <sz val="10"/>
        <color indexed="8"/>
        <rFont val="仿宋_GB2312"/>
        <family val="3"/>
        <charset val="134"/>
      </rPr>
      <t>印花税</t>
    </r>
    <phoneticPr fontId="13" type="noConversion"/>
  </si>
  <si>
    <r>
      <t>2.</t>
    </r>
    <r>
      <rPr>
        <sz val="10"/>
        <color indexed="8"/>
        <rFont val="仿宋_GB2312"/>
        <family val="3"/>
        <charset val="134"/>
      </rPr>
      <t>印花税</t>
    </r>
    <phoneticPr fontId="13"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</si>
  <si>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3" type="noConversion"/>
  </si>
  <si>
    <r>
      <rPr>
        <sz val="10"/>
        <color indexed="8"/>
        <rFont val="仿宋_GB2312"/>
        <family val="3"/>
        <charset val="134"/>
      </rPr>
      <t>正常</t>
    </r>
  </si>
  <si>
    <r>
      <rPr>
        <sz val="10"/>
        <color indexed="8"/>
        <rFont val="仿宋_GB2312"/>
        <family val="3"/>
        <charset val="134"/>
      </rPr>
      <t>土地增值税</t>
    </r>
    <phoneticPr fontId="13" type="noConversion"/>
  </si>
  <si>
    <r>
      <t>3.</t>
    </r>
    <r>
      <rPr>
        <sz val="10"/>
        <color indexed="8"/>
        <rFont val="仿宋_GB2312"/>
        <family val="3"/>
        <charset val="134"/>
      </rPr>
      <t>土地增值税</t>
    </r>
    <phoneticPr fontId="13"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</si>
  <si>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3" type="noConversion"/>
  </si>
  <si>
    <r>
      <rPr>
        <sz val="10"/>
        <color indexed="10"/>
        <rFont val="仿宋_GB2312"/>
        <family val="3"/>
        <charset val="134"/>
      </rPr>
      <t>属于免缴时请录入面缴类别</t>
    </r>
    <phoneticPr fontId="13"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</si>
  <si>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3" type="noConversion"/>
  </si>
  <si>
    <r>
      <rPr>
        <sz val="10"/>
        <color indexed="8"/>
        <rFont val="仿宋_GB2312"/>
        <family val="3"/>
        <charset val="134"/>
      </rPr>
      <t>个人住宅</t>
    </r>
    <phoneticPr fontId="13" type="noConversion"/>
  </si>
  <si>
    <r>
      <rPr>
        <sz val="10"/>
        <color indexed="8"/>
        <rFont val="仿宋_GB2312"/>
        <family val="3"/>
        <charset val="134"/>
      </rPr>
      <t>免征</t>
    </r>
    <phoneticPr fontId="13"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</si>
  <si>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</si>
  <si>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3"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</si>
  <si>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3"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</si>
  <si>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</si>
  <si>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</si>
  <si>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13" type="noConversion"/>
  </si>
  <si>
    <r>
      <rPr>
        <b/>
        <sz val="10"/>
        <color indexed="8"/>
        <rFont val="仿宋_GB2312"/>
        <family val="3"/>
        <charset val="134"/>
      </rPr>
      <t>销售不动产增值税及附加计算</t>
    </r>
    <phoneticPr fontId="34" type="noConversion"/>
  </si>
  <si>
    <r>
      <rPr>
        <b/>
        <sz val="10"/>
        <rFont val="仿宋_GB2312"/>
        <family val="3"/>
        <charset val="134"/>
      </rPr>
      <t>项目</t>
    </r>
    <phoneticPr fontId="38" type="noConversion"/>
  </si>
  <si>
    <r>
      <rPr>
        <b/>
        <sz val="10"/>
        <rFont val="仿宋_GB2312"/>
        <family val="3"/>
        <charset val="134"/>
      </rPr>
      <t>系数</t>
    </r>
    <phoneticPr fontId="38" type="noConversion"/>
  </si>
  <si>
    <r>
      <rPr>
        <sz val="10"/>
        <color indexed="8"/>
        <rFont val="仿宋_GB2312"/>
        <family val="3"/>
        <charset val="134"/>
      </rPr>
      <t>备注</t>
    </r>
    <phoneticPr fontId="38" type="noConversion"/>
  </si>
  <si>
    <r>
      <rPr>
        <b/>
        <sz val="10"/>
        <rFont val="仿宋_GB2312"/>
        <family val="3"/>
        <charset val="134"/>
      </rPr>
      <t>销售额</t>
    </r>
    <phoneticPr fontId="34" type="noConversion"/>
  </si>
  <si>
    <r>
      <rPr>
        <sz val="10"/>
        <rFont val="仿宋_GB2312"/>
        <family val="3"/>
        <charset val="134"/>
      </rPr>
      <t>全部价款</t>
    </r>
    <phoneticPr fontId="38" type="noConversion"/>
  </si>
  <si>
    <r>
      <rPr>
        <sz val="10"/>
        <rFont val="仿宋_GB2312"/>
        <family val="3"/>
        <charset val="134"/>
      </rPr>
      <t>价外费用</t>
    </r>
    <phoneticPr fontId="34" type="noConversion"/>
  </si>
  <si>
    <r>
      <rPr>
        <b/>
        <sz val="10"/>
        <rFont val="仿宋_GB2312"/>
        <family val="3"/>
        <charset val="134"/>
      </rPr>
      <t>原购房价</t>
    </r>
    <r>
      <rPr>
        <b/>
        <sz val="10"/>
        <rFont val="Arial"/>
        <family val="2"/>
      </rPr>
      <t>/</t>
    </r>
    <r>
      <rPr>
        <b/>
        <sz val="10"/>
        <rFont val="仿宋_GB2312"/>
        <family val="3"/>
        <charset val="134"/>
      </rPr>
      <t>作价</t>
    </r>
    <phoneticPr fontId="38" type="noConversion"/>
  </si>
  <si>
    <r>
      <rPr>
        <b/>
        <sz val="10"/>
        <rFont val="仿宋_GB2312"/>
        <family val="3"/>
        <charset val="134"/>
      </rPr>
      <t>纳税基数</t>
    </r>
    <phoneticPr fontId="38" type="noConversion"/>
  </si>
  <si>
    <r>
      <rPr>
        <b/>
        <sz val="10"/>
        <rFont val="仿宋_GB2312"/>
        <family val="3"/>
        <charset val="134"/>
      </rPr>
      <t>纳税额</t>
    </r>
    <phoneticPr fontId="34" type="noConversion"/>
  </si>
  <si>
    <r>
      <rPr>
        <b/>
        <sz val="10"/>
        <rFont val="仿宋_GB2312"/>
        <family val="3"/>
        <charset val="134"/>
      </rPr>
      <t>土地增值税（转让取得）</t>
    </r>
    <phoneticPr fontId="38" type="noConversion"/>
  </si>
  <si>
    <r>
      <rPr>
        <sz val="10"/>
        <color indexed="8"/>
        <rFont val="仿宋_GB2312"/>
        <family val="3"/>
        <charset val="134"/>
      </rPr>
      <t>备注</t>
    </r>
    <phoneticPr fontId="38" type="noConversion"/>
  </si>
  <si>
    <r>
      <rPr>
        <b/>
        <sz val="10"/>
        <rFont val="仿宋_GB2312"/>
        <family val="3"/>
        <charset val="134"/>
      </rPr>
      <t>转让收入</t>
    </r>
    <phoneticPr fontId="38" type="noConversion"/>
  </si>
  <si>
    <r>
      <rPr>
        <b/>
        <sz val="10"/>
        <color indexed="8"/>
        <rFont val="仿宋_GB2312"/>
        <family val="3"/>
        <charset val="134"/>
      </rPr>
      <t>扣除项合计</t>
    </r>
    <phoneticPr fontId="38" type="noConversion"/>
  </si>
  <si>
    <r>
      <rPr>
        <sz val="10"/>
        <rFont val="仿宋_GB2312"/>
        <family val="3"/>
        <charset val="134"/>
      </rPr>
      <t>原购房价及相关税费</t>
    </r>
    <phoneticPr fontId="38" type="noConversion"/>
  </si>
  <si>
    <r>
      <rPr>
        <sz val="10"/>
        <rFont val="仿宋_GB2312"/>
        <family val="3"/>
        <charset val="134"/>
      </rPr>
      <t>原购房价</t>
    </r>
    <phoneticPr fontId="38" type="noConversion"/>
  </si>
  <si>
    <r>
      <rPr>
        <sz val="11"/>
        <color indexed="8"/>
        <rFont val="仿宋_GB2312"/>
        <family val="3"/>
        <charset val="134"/>
      </rPr>
      <t>原购房价依据</t>
    </r>
    <phoneticPr fontId="34" type="noConversion"/>
  </si>
  <si>
    <r>
      <rPr>
        <sz val="11"/>
        <color indexed="8"/>
        <rFont val="仿宋_GB2312"/>
        <family val="3"/>
        <charset val="134"/>
      </rPr>
      <t>购房发票</t>
    </r>
  </si>
  <si>
    <r>
      <rPr>
        <sz val="11"/>
        <color indexed="8"/>
        <rFont val="仿宋_GB2312"/>
        <family val="3"/>
        <charset val="134"/>
      </rPr>
      <t>已购年限</t>
    </r>
    <phoneticPr fontId="34" type="noConversion"/>
  </si>
  <si>
    <r>
      <rPr>
        <sz val="10"/>
        <rFont val="仿宋_GB2312"/>
        <family val="3"/>
        <charset val="134"/>
      </rPr>
      <t>加计扣减项</t>
    </r>
    <phoneticPr fontId="34"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</si>
  <si>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8" type="noConversion"/>
  </si>
  <si>
    <r>
      <rPr>
        <sz val="10"/>
        <rFont val="仿宋_GB2312"/>
        <family val="3"/>
        <charset val="134"/>
      </rPr>
      <t>相关税费</t>
    </r>
    <phoneticPr fontId="38" type="noConversion"/>
  </si>
  <si>
    <r>
      <rPr>
        <sz val="10"/>
        <color indexed="8"/>
        <rFont val="仿宋_GB2312"/>
        <family val="3"/>
        <charset val="134"/>
      </rPr>
      <t>含契税及印花税</t>
    </r>
    <phoneticPr fontId="38" type="noConversion"/>
  </si>
  <si>
    <r>
      <rPr>
        <sz val="10"/>
        <rFont val="仿宋_GB2312"/>
        <family val="3"/>
        <charset val="134"/>
      </rPr>
      <t>转让税金支出</t>
    </r>
    <phoneticPr fontId="38" type="noConversion"/>
  </si>
  <si>
    <r>
      <rPr>
        <b/>
        <sz val="10"/>
        <rFont val="仿宋_GB2312"/>
        <family val="3"/>
        <charset val="134"/>
      </rPr>
      <t>增值额</t>
    </r>
    <phoneticPr fontId="38" type="noConversion"/>
  </si>
  <si>
    <r>
      <rPr>
        <b/>
        <sz val="10"/>
        <rFont val="仿宋_GB2312"/>
        <family val="3"/>
        <charset val="134"/>
      </rPr>
      <t>增值额与扣除项比率</t>
    </r>
    <phoneticPr fontId="38" type="noConversion"/>
  </si>
  <si>
    <r>
      <rPr>
        <b/>
        <sz val="10"/>
        <rFont val="仿宋_GB2312"/>
        <family val="3"/>
        <charset val="134"/>
      </rPr>
      <t>应纳增值税税额</t>
    </r>
    <phoneticPr fontId="38" type="noConversion"/>
  </si>
  <si>
    <r>
      <rPr>
        <b/>
        <sz val="10"/>
        <rFont val="仿宋_GB2312"/>
        <family val="3"/>
        <charset val="134"/>
      </rPr>
      <t>土地增值税（自行开发建设）</t>
    </r>
    <phoneticPr fontId="38" type="noConversion"/>
  </si>
  <si>
    <r>
      <rPr>
        <sz val="10"/>
        <rFont val="仿宋_GB2312"/>
        <family val="3"/>
        <charset val="134"/>
      </rPr>
      <t>土地取得成本</t>
    </r>
    <phoneticPr fontId="38" type="noConversion"/>
  </si>
  <si>
    <r>
      <rPr>
        <sz val="10"/>
        <rFont val="仿宋_GB2312"/>
        <family val="3"/>
        <charset val="134"/>
      </rPr>
      <t>土地取得费用</t>
    </r>
    <phoneticPr fontId="38" type="noConversion"/>
  </si>
  <si>
    <r>
      <rPr>
        <sz val="10"/>
        <color indexed="8"/>
        <rFont val="仿宋_GB2312"/>
        <family val="3"/>
        <charset val="134"/>
      </rPr>
      <t>依据出让合同</t>
    </r>
    <phoneticPr fontId="34" type="noConversion"/>
  </si>
  <si>
    <r>
      <rPr>
        <sz val="9"/>
        <color indexed="8"/>
        <rFont val="仿宋_GB2312"/>
        <family val="3"/>
        <charset val="134"/>
      </rPr>
      <t>出让价款内涵：</t>
    </r>
    <phoneticPr fontId="34" type="noConversion"/>
  </si>
  <si>
    <r>
      <rPr>
        <sz val="10"/>
        <color indexed="8"/>
        <rFont val="仿宋_GB2312"/>
        <family val="3"/>
        <charset val="134"/>
      </rPr>
      <t>契税及印花税</t>
    </r>
    <phoneticPr fontId="34" type="noConversion"/>
  </si>
  <si>
    <r>
      <rPr>
        <sz val="10"/>
        <rFont val="仿宋_GB2312"/>
        <family val="3"/>
        <charset val="134"/>
      </rPr>
      <t>土地开发费</t>
    </r>
    <phoneticPr fontId="38" type="noConversion"/>
  </si>
  <si>
    <r>
      <rPr>
        <sz val="10"/>
        <rFont val="仿宋_GB2312"/>
        <family val="3"/>
        <charset val="134"/>
      </rPr>
      <t>建造成本</t>
    </r>
    <phoneticPr fontId="38" type="noConversion"/>
  </si>
  <si>
    <r>
      <rPr>
        <sz val="10"/>
        <color indexed="8"/>
        <rFont val="仿宋_GB2312"/>
        <family val="3"/>
        <charset val="134"/>
      </rPr>
      <t>包括前期工程费、建筑安装工程费、基础设施费和公共配套费等</t>
    </r>
    <phoneticPr fontId="34" type="noConversion"/>
  </si>
  <si>
    <r>
      <rPr>
        <sz val="10"/>
        <rFont val="仿宋_GB2312"/>
        <family val="3"/>
        <charset val="134"/>
      </rPr>
      <t>开发费用扣除</t>
    </r>
    <phoneticPr fontId="38"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</si>
  <si>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4" type="noConversion"/>
  </si>
  <si>
    <r>
      <rPr>
        <sz val="10"/>
        <rFont val="仿宋_GB2312"/>
        <family val="3"/>
        <charset val="134"/>
      </rPr>
      <t>加计扣除金额</t>
    </r>
    <phoneticPr fontId="38" type="noConversion"/>
  </si>
  <si>
    <r>
      <rPr>
        <b/>
        <sz val="16"/>
        <color indexed="10"/>
        <rFont val="仿宋_GB2312"/>
        <family val="3"/>
        <charset val="134"/>
      </rPr>
      <t>剩余法</t>
    </r>
    <phoneticPr fontId="19" type="noConversion"/>
  </si>
  <si>
    <r>
      <rPr>
        <b/>
        <sz val="12"/>
        <rFont val="仿宋_GB2312"/>
        <family val="3"/>
        <charset val="134"/>
      </rPr>
      <t>总价</t>
    </r>
    <phoneticPr fontId="20" type="noConversion"/>
  </si>
  <si>
    <r>
      <rPr>
        <b/>
        <sz val="11"/>
        <rFont val="仿宋_GB2312"/>
        <family val="3"/>
        <charset val="134"/>
      </rPr>
      <t>单位面积地价</t>
    </r>
    <phoneticPr fontId="31"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</si>
  <si>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1" type="noConversion"/>
  </si>
  <si>
    <r>
      <rPr>
        <b/>
        <sz val="11"/>
        <color indexed="8"/>
        <rFont val="仿宋_GB2312"/>
        <family val="3"/>
        <charset val="134"/>
      </rPr>
      <t>序号</t>
    </r>
    <phoneticPr fontId="19" type="noConversion"/>
  </si>
  <si>
    <r>
      <rPr>
        <b/>
        <sz val="11"/>
        <color indexed="8"/>
        <rFont val="仿宋_GB2312"/>
        <family val="3"/>
        <charset val="134"/>
      </rPr>
      <t>项目名称</t>
    </r>
    <phoneticPr fontId="19" type="noConversion"/>
  </si>
  <si>
    <r>
      <rPr>
        <sz val="10"/>
        <color indexed="8"/>
        <rFont val="仿宋_GB2312"/>
        <family val="3"/>
        <charset val="134"/>
      </rPr>
      <t>楼面单价</t>
    </r>
    <phoneticPr fontId="19" type="noConversion"/>
  </si>
  <si>
    <r>
      <rPr>
        <sz val="10"/>
        <color indexed="8"/>
        <rFont val="仿宋_GB2312"/>
        <family val="3"/>
        <charset val="134"/>
      </rPr>
      <t>建筑面积</t>
    </r>
    <phoneticPr fontId="19" type="noConversion"/>
  </si>
  <si>
    <r>
      <rPr>
        <sz val="10"/>
        <color indexed="8"/>
        <rFont val="仿宋_GB2312"/>
        <family val="3"/>
        <charset val="134"/>
      </rPr>
      <t>总额</t>
    </r>
    <phoneticPr fontId="19" type="noConversion"/>
  </si>
  <si>
    <r>
      <rPr>
        <b/>
        <sz val="11"/>
        <color indexed="8"/>
        <rFont val="仿宋_GB2312"/>
        <family val="3"/>
        <charset val="134"/>
      </rPr>
      <t>总额</t>
    </r>
    <phoneticPr fontId="19" type="noConversion"/>
  </si>
  <si>
    <r>
      <rPr>
        <b/>
        <sz val="11"/>
        <color indexed="8"/>
        <rFont val="仿宋_GB2312"/>
        <family val="3"/>
        <charset val="134"/>
      </rPr>
      <t>面积</t>
    </r>
    <phoneticPr fontId="19" type="noConversion"/>
  </si>
  <si>
    <r>
      <rPr>
        <b/>
        <sz val="11"/>
        <color indexed="8"/>
        <rFont val="仿宋_GB2312"/>
        <family val="3"/>
        <charset val="134"/>
      </rPr>
      <t>单价</t>
    </r>
    <phoneticPr fontId="19" type="noConversion"/>
  </si>
  <si>
    <r>
      <rPr>
        <b/>
        <sz val="11"/>
        <color indexed="8"/>
        <rFont val="仿宋_GB2312"/>
        <family val="3"/>
        <charset val="134"/>
      </rPr>
      <t>相关系数</t>
    </r>
    <phoneticPr fontId="19" type="noConversion"/>
  </si>
  <si>
    <r>
      <rPr>
        <sz val="10"/>
        <color indexed="8"/>
        <rFont val="仿宋_GB2312"/>
        <family val="3"/>
        <charset val="134"/>
      </rPr>
      <t>建安费用</t>
    </r>
    <phoneticPr fontId="19" type="noConversion"/>
  </si>
  <si>
    <r>
      <rPr>
        <sz val="10"/>
        <color indexed="8"/>
        <rFont val="仿宋_GB2312"/>
        <family val="3"/>
        <charset val="134"/>
      </rPr>
      <t>勘察设计和前期工程费</t>
    </r>
    <phoneticPr fontId="19" type="noConversion"/>
  </si>
  <si>
    <r>
      <rPr>
        <b/>
        <sz val="11"/>
        <color indexed="8"/>
        <rFont val="仿宋_GB2312"/>
        <family val="3"/>
        <charset val="134"/>
      </rPr>
      <t>以建安费用为基数计取</t>
    </r>
    <phoneticPr fontId="19" type="noConversion"/>
  </si>
  <si>
    <r>
      <rPr>
        <sz val="10"/>
        <color indexed="8"/>
        <rFont val="仿宋_GB2312"/>
        <family val="3"/>
        <charset val="134"/>
      </rPr>
      <t>公共配套设施费用</t>
    </r>
    <phoneticPr fontId="19" type="noConversion"/>
  </si>
  <si>
    <r>
      <rPr>
        <b/>
        <sz val="11"/>
        <color indexed="8"/>
        <rFont val="仿宋_GB2312"/>
        <family val="3"/>
        <charset val="134"/>
      </rPr>
      <t>以住宅用房建安费用为基数计取</t>
    </r>
    <phoneticPr fontId="19" type="noConversion"/>
  </si>
  <si>
    <r>
      <rPr>
        <sz val="10"/>
        <color indexed="8"/>
        <rFont val="仿宋_GB2312"/>
        <family val="3"/>
        <charset val="134"/>
      </rPr>
      <t>红线内市政费用</t>
    </r>
    <phoneticPr fontId="19" type="noConversion"/>
  </si>
  <si>
    <r>
      <rPr>
        <sz val="10"/>
        <color indexed="8"/>
        <rFont val="仿宋_GB2312"/>
        <family val="3"/>
        <charset val="134"/>
      </rPr>
      <t>相关税费</t>
    </r>
    <phoneticPr fontId="19" type="noConversion"/>
  </si>
  <si>
    <r>
      <rPr>
        <sz val="10"/>
        <color indexed="8"/>
        <rFont val="仿宋_GB2312"/>
        <family val="3"/>
        <charset val="134"/>
      </rPr>
      <t>以建安费用为基数计取</t>
    </r>
    <phoneticPr fontId="19" type="noConversion"/>
  </si>
  <si>
    <r>
      <rPr>
        <b/>
        <sz val="11"/>
        <color indexed="8"/>
        <rFont val="仿宋_GB2312"/>
        <family val="3"/>
        <charset val="134"/>
      </rPr>
      <t>房屋建造成本</t>
    </r>
    <phoneticPr fontId="19" type="noConversion"/>
  </si>
  <si>
    <r>
      <rPr>
        <b/>
        <sz val="11"/>
        <color indexed="8"/>
        <rFont val="仿宋_GB2312"/>
        <family val="3"/>
        <charset val="134"/>
      </rPr>
      <t>红线外市政费用（土地开发费用）</t>
    </r>
    <phoneticPr fontId="19" type="noConversion"/>
  </si>
  <si>
    <r>
      <rPr>
        <b/>
        <sz val="11"/>
        <color indexed="8"/>
        <rFont val="仿宋_GB2312"/>
        <family val="3"/>
        <charset val="134"/>
      </rPr>
      <t>按实际情况计取</t>
    </r>
    <phoneticPr fontId="19" type="noConversion"/>
  </si>
  <si>
    <r>
      <rPr>
        <b/>
        <sz val="11"/>
        <color indexed="8"/>
        <rFont val="仿宋_GB2312"/>
        <family val="3"/>
        <charset val="134"/>
      </rPr>
      <t>城市基础设施建设费（行政收费）</t>
    </r>
    <phoneticPr fontId="19" type="noConversion"/>
  </si>
  <si>
    <r>
      <rPr>
        <sz val="10"/>
        <color indexed="8"/>
        <rFont val="仿宋_GB2312"/>
        <family val="3"/>
        <charset val="134"/>
      </rPr>
      <t>住宅</t>
    </r>
    <phoneticPr fontId="19" type="noConversion"/>
  </si>
  <si>
    <r>
      <rPr>
        <sz val="10"/>
        <color indexed="8"/>
        <rFont val="仿宋_GB2312"/>
        <family val="3"/>
        <charset val="134"/>
      </rPr>
      <t>非住宅</t>
    </r>
    <phoneticPr fontId="19" type="noConversion"/>
  </si>
  <si>
    <r>
      <rPr>
        <b/>
        <sz val="11"/>
        <color indexed="8"/>
        <rFont val="仿宋_GB2312"/>
        <family val="3"/>
        <charset val="134"/>
      </rPr>
      <t>管理费用</t>
    </r>
    <phoneticPr fontId="19" type="noConversion"/>
  </si>
  <si>
    <r>
      <rPr>
        <b/>
        <sz val="11"/>
        <color indexed="8"/>
        <rFont val="仿宋_GB2312"/>
        <family val="3"/>
        <charset val="134"/>
      </rPr>
      <t>投资利息</t>
    </r>
    <phoneticPr fontId="19" type="noConversion"/>
  </si>
  <si>
    <r>
      <t>P</t>
    </r>
    <r>
      <rPr>
        <b/>
        <vertAlign val="subscript"/>
        <sz val="11"/>
        <color indexed="8"/>
        <rFont val="仿宋_GB2312"/>
        <family val="3"/>
        <charset val="134"/>
      </rPr>
      <t>土</t>
    </r>
    <phoneticPr fontId="19" type="noConversion"/>
  </si>
  <si>
    <r>
      <rPr>
        <sz val="10"/>
        <color indexed="8"/>
        <rFont val="仿宋_GB2312"/>
        <family val="3"/>
        <charset val="134"/>
      </rPr>
      <t>土地购买价格及购地税费产生的利息</t>
    </r>
    <phoneticPr fontId="19" type="noConversion"/>
  </si>
  <si>
    <r>
      <rPr>
        <b/>
        <sz val="11"/>
        <color indexed="8"/>
        <rFont val="仿宋_GB2312"/>
        <family val="3"/>
        <charset val="134"/>
      </rPr>
      <t>销售税费</t>
    </r>
    <phoneticPr fontId="19"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</si>
  <si>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9"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</si>
  <si>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9" type="noConversion"/>
  </si>
  <si>
    <r>
      <rPr>
        <b/>
        <sz val="11"/>
        <color indexed="8"/>
        <rFont val="仿宋_GB2312"/>
        <family val="3"/>
        <charset val="134"/>
      </rPr>
      <t>开发成本</t>
    </r>
    <phoneticPr fontId="20" type="noConversion"/>
  </si>
  <si>
    <r>
      <rPr>
        <sz val="10"/>
        <color indexed="8"/>
        <rFont val="仿宋_GB2312"/>
        <family val="3"/>
        <charset val="134"/>
      </rPr>
      <t>土地购买价格及购地税费应计的利润</t>
    </r>
    <phoneticPr fontId="19" type="noConversion"/>
  </si>
  <si>
    <r>
      <rPr>
        <b/>
        <sz val="11"/>
        <color indexed="8"/>
        <rFont val="仿宋_GB2312"/>
        <family val="3"/>
        <charset val="134"/>
      </rPr>
      <t>以建安费用为基数计取</t>
    </r>
    <phoneticPr fontId="46" type="noConversion"/>
  </si>
  <si>
    <r>
      <rPr>
        <b/>
        <sz val="11"/>
        <color indexed="8"/>
        <rFont val="仿宋_GB2312"/>
        <family val="3"/>
        <charset val="134"/>
      </rPr>
      <t>以建造成本为基数计取</t>
    </r>
    <phoneticPr fontId="46" type="noConversion"/>
  </si>
  <si>
    <r>
      <rPr>
        <b/>
        <sz val="11"/>
        <color indexed="8"/>
        <rFont val="仿宋_GB2312"/>
        <family val="3"/>
        <charset val="134"/>
      </rPr>
      <t>销售费用</t>
    </r>
    <phoneticPr fontId="19" type="noConversion"/>
  </si>
  <si>
    <r>
      <t>P</t>
    </r>
    <r>
      <rPr>
        <b/>
        <vertAlign val="subscript"/>
        <sz val="10"/>
        <color indexed="8"/>
        <rFont val="仿宋_GB2312"/>
        <family val="3"/>
        <charset val="134"/>
      </rPr>
      <t>建</t>
    </r>
    <phoneticPr fontId="19"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</si>
  <si>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6" type="noConversion"/>
  </si>
  <si>
    <r>
      <t>P</t>
    </r>
    <r>
      <rPr>
        <b/>
        <vertAlign val="subscript"/>
        <sz val="11"/>
        <color indexed="8"/>
        <rFont val="仿宋_GB2312"/>
        <family val="3"/>
        <charset val="134"/>
      </rPr>
      <t>建</t>
    </r>
    <phoneticPr fontId="19"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</si>
  <si>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</si>
  <si>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</si>
  <si>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</si>
  <si>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9" type="noConversion"/>
  </si>
  <si>
    <r>
      <rPr>
        <b/>
        <sz val="11"/>
        <color indexed="8"/>
        <rFont val="仿宋_GB2312"/>
        <family val="3"/>
        <charset val="134"/>
      </rPr>
      <t>建筑物重置价格</t>
    </r>
    <phoneticPr fontId="20" type="noConversion"/>
  </si>
  <si>
    <r>
      <rPr>
        <b/>
        <sz val="11"/>
        <color indexed="8"/>
        <rFont val="仿宋_GB2312"/>
        <family val="3"/>
        <charset val="134"/>
      </rPr>
      <t>成新率</t>
    </r>
    <phoneticPr fontId="20"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</si>
  <si>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20"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</si>
  <si>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8" type="noConversion"/>
  </si>
  <si>
    <r>
      <rPr>
        <b/>
        <sz val="16"/>
        <color indexed="10"/>
        <rFont val="仿宋_GB2312"/>
        <family val="3"/>
        <charset val="134"/>
      </rPr>
      <t>套用比较法</t>
    </r>
    <phoneticPr fontId="8" type="noConversion"/>
  </si>
  <si>
    <r>
      <rPr>
        <b/>
        <sz val="16"/>
        <rFont val="仿宋_GB2312"/>
        <family val="3"/>
        <charset val="134"/>
      </rPr>
      <t>住宅、综合</t>
    </r>
    <phoneticPr fontId="31"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</si>
  <si>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6" type="noConversion"/>
  </si>
  <si>
    <r>
      <rPr>
        <b/>
        <sz val="12"/>
        <rFont val="仿宋_GB2312"/>
        <family val="3"/>
        <charset val="134"/>
      </rPr>
      <t>楼面单价</t>
    </r>
    <phoneticPr fontId="20" type="noConversion"/>
  </si>
  <si>
    <r>
      <rPr>
        <b/>
        <sz val="12"/>
        <rFont val="仿宋_GB2312"/>
        <family val="3"/>
        <charset val="134"/>
      </rPr>
      <t>单位面积地价</t>
    </r>
    <phoneticPr fontId="31" type="noConversion"/>
  </si>
  <si>
    <r>
      <rPr>
        <b/>
        <sz val="11"/>
        <rFont val="仿宋_GB2312"/>
        <family val="3"/>
        <charset val="134"/>
      </rPr>
      <t>比较因素</t>
    </r>
    <phoneticPr fontId="8" type="noConversion"/>
  </si>
  <si>
    <r>
      <rPr>
        <sz val="11"/>
        <rFont val="仿宋_GB2312"/>
        <family val="3"/>
        <charset val="134"/>
      </rPr>
      <t>估价对象</t>
    </r>
    <phoneticPr fontId="8" type="noConversion"/>
  </si>
  <si>
    <r>
      <rPr>
        <sz val="11"/>
        <rFont val="仿宋_GB2312"/>
        <family val="3"/>
        <charset val="134"/>
      </rPr>
      <t>案例</t>
    </r>
    <r>
      <rPr>
        <sz val="11"/>
        <rFont val="Arial"/>
        <family val="2"/>
      </rPr>
      <t>A</t>
    </r>
    <phoneticPr fontId="8" type="noConversion"/>
  </si>
  <si>
    <r>
      <rPr>
        <sz val="11"/>
        <rFont val="仿宋_GB2312"/>
        <family val="3"/>
        <charset val="134"/>
      </rPr>
      <t>案例</t>
    </r>
    <r>
      <rPr>
        <sz val="11"/>
        <rFont val="Arial"/>
        <family val="2"/>
      </rPr>
      <t>B</t>
    </r>
    <phoneticPr fontId="8" type="noConversion"/>
  </si>
  <si>
    <r>
      <rPr>
        <sz val="11"/>
        <rFont val="仿宋_GB2312"/>
        <family val="3"/>
        <charset val="134"/>
      </rPr>
      <t>案例</t>
    </r>
    <r>
      <rPr>
        <sz val="11"/>
        <rFont val="Arial"/>
        <family val="2"/>
      </rPr>
      <t>C</t>
    </r>
    <phoneticPr fontId="8" type="noConversion"/>
  </si>
  <si>
    <r>
      <rPr>
        <sz val="11"/>
        <color indexed="8"/>
        <rFont val="仿宋_GB2312"/>
        <family val="3"/>
        <charset val="134"/>
      </rPr>
      <t>修正幅度</t>
    </r>
    <phoneticPr fontId="8" type="noConversion"/>
  </si>
  <si>
    <r>
      <rPr>
        <sz val="11"/>
        <rFont val="仿宋_GB2312"/>
        <family val="3"/>
        <charset val="134"/>
      </rPr>
      <t>比较因素</t>
    </r>
    <phoneticPr fontId="8" type="noConversion"/>
  </si>
  <si>
    <r>
      <rPr>
        <sz val="11"/>
        <color indexed="8"/>
        <rFont val="仿宋_GB2312"/>
        <family val="3"/>
        <charset val="134"/>
      </rPr>
      <t>系数</t>
    </r>
    <r>
      <rPr>
        <sz val="11"/>
        <color indexed="8"/>
        <rFont val="Arial"/>
        <family val="2"/>
      </rPr>
      <t>%</t>
    </r>
    <phoneticPr fontId="8" type="noConversion"/>
  </si>
  <si>
    <r>
      <rPr>
        <b/>
        <sz val="11"/>
        <color indexed="8"/>
        <rFont val="仿宋_GB2312"/>
        <family val="3"/>
        <charset val="134"/>
      </rPr>
      <t>交易时间</t>
    </r>
    <phoneticPr fontId="8" type="noConversion"/>
  </si>
  <si>
    <r>
      <rPr>
        <sz val="11"/>
        <color indexed="8"/>
        <rFont val="仿宋_GB2312"/>
        <family val="3"/>
        <charset val="134"/>
      </rPr>
      <t>交易时间</t>
    </r>
    <phoneticPr fontId="8" type="noConversion"/>
  </si>
  <si>
    <r>
      <rPr>
        <b/>
        <sz val="11"/>
        <color indexed="8"/>
        <rFont val="仿宋_GB2312"/>
        <family val="3"/>
        <charset val="134"/>
      </rPr>
      <t>交易情况</t>
    </r>
    <phoneticPr fontId="8" type="noConversion"/>
  </si>
  <si>
    <r>
      <rPr>
        <sz val="11"/>
        <color indexed="8"/>
        <rFont val="仿宋_GB2312"/>
        <family val="3"/>
        <charset val="134"/>
      </rPr>
      <t>正常</t>
    </r>
  </si>
  <si>
    <r>
      <rPr>
        <sz val="11"/>
        <color indexed="8"/>
        <rFont val="仿宋_GB2312"/>
        <family val="3"/>
        <charset val="134"/>
      </rPr>
      <t>交易情况</t>
    </r>
    <phoneticPr fontId="8" type="noConversion"/>
  </si>
  <si>
    <r>
      <rPr>
        <sz val="11"/>
        <color indexed="8"/>
        <rFont val="仿宋_GB2312"/>
        <family val="3"/>
        <charset val="134"/>
      </rPr>
      <t>用途</t>
    </r>
    <phoneticPr fontId="8" type="noConversion"/>
  </si>
  <si>
    <r>
      <rPr>
        <sz val="11"/>
        <rFont val="仿宋_GB2312"/>
        <family val="3"/>
        <charset val="134"/>
      </rPr>
      <t>权益状况</t>
    </r>
    <phoneticPr fontId="8" type="noConversion"/>
  </si>
  <si>
    <r>
      <rPr>
        <sz val="11"/>
        <color indexed="8"/>
        <rFont val="仿宋_GB2312"/>
        <family val="3"/>
        <charset val="134"/>
      </rPr>
      <t>权益状况</t>
    </r>
    <phoneticPr fontId="8" type="noConversion"/>
  </si>
  <si>
    <r>
      <rPr>
        <sz val="11"/>
        <color indexed="8"/>
        <rFont val="仿宋_GB2312"/>
        <family val="3"/>
        <charset val="134"/>
      </rPr>
      <t>土地使用年限（年）</t>
    </r>
    <phoneticPr fontId="8" type="noConversion"/>
  </si>
  <si>
    <r>
      <rPr>
        <sz val="11"/>
        <color indexed="8"/>
        <rFont val="仿宋_GB2312"/>
        <family val="3"/>
        <charset val="134"/>
      </rPr>
      <t>容积率</t>
    </r>
    <phoneticPr fontId="8" type="noConversion"/>
  </si>
  <si>
    <r>
      <rPr>
        <b/>
        <sz val="11"/>
        <rFont val="仿宋_GB2312"/>
        <family val="3"/>
        <charset val="134"/>
      </rPr>
      <t>区位状况</t>
    </r>
    <phoneticPr fontId="8" type="noConversion"/>
  </si>
  <si>
    <r>
      <rPr>
        <sz val="11"/>
        <rFont val="仿宋_GB2312"/>
        <family val="3"/>
        <charset val="134"/>
      </rPr>
      <t>区位状况</t>
    </r>
    <phoneticPr fontId="8" type="noConversion"/>
  </si>
  <si>
    <r>
      <rPr>
        <sz val="11"/>
        <color indexed="8"/>
        <rFont val="仿宋_GB2312"/>
        <family val="3"/>
        <charset val="134"/>
      </rPr>
      <t>商业繁华度</t>
    </r>
    <phoneticPr fontId="31" type="noConversion"/>
  </si>
  <si>
    <r>
      <rPr>
        <sz val="11"/>
        <color indexed="8"/>
        <rFont val="仿宋_GB2312"/>
        <family val="3"/>
        <charset val="134"/>
      </rPr>
      <t>办公集聚程度</t>
    </r>
    <phoneticPr fontId="31" type="noConversion"/>
  </si>
  <si>
    <r>
      <rPr>
        <sz val="11"/>
        <color indexed="8"/>
        <rFont val="仿宋_GB2312"/>
        <family val="3"/>
        <charset val="134"/>
      </rPr>
      <t>交通便捷度</t>
    </r>
    <phoneticPr fontId="31" type="noConversion"/>
  </si>
  <si>
    <r>
      <rPr>
        <sz val="11"/>
        <color indexed="8"/>
        <rFont val="仿宋_GB2312"/>
        <family val="3"/>
        <charset val="134"/>
      </rPr>
      <t>区域土地利用方向</t>
    </r>
    <phoneticPr fontId="31" type="noConversion"/>
  </si>
  <si>
    <r>
      <rPr>
        <sz val="11"/>
        <color indexed="8"/>
        <rFont val="仿宋_GB2312"/>
        <family val="3"/>
        <charset val="134"/>
      </rPr>
      <t>自然及人文环境状况</t>
    </r>
    <phoneticPr fontId="31" type="noConversion"/>
  </si>
  <si>
    <r>
      <rPr>
        <sz val="11"/>
        <color indexed="8"/>
        <rFont val="仿宋_GB2312"/>
        <family val="3"/>
        <charset val="134"/>
      </rPr>
      <t>较差</t>
    </r>
  </si>
  <si>
    <r>
      <rPr>
        <sz val="11"/>
        <color indexed="8"/>
        <rFont val="仿宋_GB2312"/>
        <family val="3"/>
        <charset val="134"/>
      </rPr>
      <t>临街状况</t>
    </r>
    <phoneticPr fontId="31" type="noConversion"/>
  </si>
  <si>
    <r>
      <rPr>
        <sz val="11"/>
        <color indexed="8"/>
        <rFont val="仿宋_GB2312"/>
        <family val="3"/>
        <charset val="134"/>
      </rPr>
      <t>毗邻道路的类型与等级</t>
    </r>
    <phoneticPr fontId="31" type="noConversion"/>
  </si>
  <si>
    <r>
      <rPr>
        <sz val="11"/>
        <color indexed="8"/>
        <rFont val="仿宋_GB2312"/>
        <family val="3"/>
        <charset val="134"/>
      </rPr>
      <t>土地级别</t>
    </r>
    <phoneticPr fontId="31" type="noConversion"/>
  </si>
  <si>
    <r>
      <rPr>
        <sz val="11"/>
        <rFont val="仿宋_GB2312"/>
        <family val="3"/>
        <charset val="134"/>
      </rPr>
      <t>实物状况</t>
    </r>
    <phoneticPr fontId="8" type="noConversion"/>
  </si>
  <si>
    <r>
      <rPr>
        <b/>
        <sz val="11"/>
        <rFont val="仿宋_GB2312"/>
        <family val="3"/>
        <charset val="134"/>
      </rPr>
      <t>实物状况</t>
    </r>
    <phoneticPr fontId="8" type="noConversion"/>
  </si>
  <si>
    <r>
      <rPr>
        <sz val="11"/>
        <color indexed="8"/>
        <rFont val="仿宋_GB2312"/>
        <family val="3"/>
        <charset val="134"/>
      </rPr>
      <t>宗地面积</t>
    </r>
    <phoneticPr fontId="31" type="noConversion"/>
  </si>
  <si>
    <r>
      <rPr>
        <sz val="11"/>
        <color indexed="8"/>
        <rFont val="仿宋_GB2312"/>
        <family val="3"/>
        <charset val="134"/>
      </rPr>
      <t>宗地形状</t>
    </r>
    <phoneticPr fontId="31" type="noConversion"/>
  </si>
  <si>
    <r>
      <rPr>
        <sz val="11"/>
        <color indexed="8"/>
        <rFont val="仿宋_GB2312"/>
        <family val="3"/>
        <charset val="134"/>
      </rPr>
      <t>临街宽度及深度</t>
    </r>
    <phoneticPr fontId="31" type="noConversion"/>
  </si>
  <si>
    <r>
      <rPr>
        <sz val="11"/>
        <color indexed="8"/>
        <rFont val="仿宋_GB2312"/>
        <family val="3"/>
        <charset val="134"/>
      </rPr>
      <t>工程地质条件</t>
    </r>
    <phoneticPr fontId="31" type="noConversion"/>
  </si>
  <si>
    <r>
      <rPr>
        <b/>
        <sz val="11"/>
        <rFont val="仿宋_GB2312"/>
        <family val="3"/>
        <charset val="134"/>
      </rPr>
      <t>成交单价</t>
    </r>
    <phoneticPr fontId="8" type="noConversion"/>
  </si>
  <si>
    <r>
      <rPr>
        <b/>
        <sz val="11"/>
        <rFont val="仿宋_GB2312"/>
        <family val="3"/>
        <charset val="134"/>
      </rPr>
      <t>总修正幅度不超过</t>
    </r>
    <r>
      <rPr>
        <b/>
        <sz val="11"/>
        <color indexed="10"/>
        <rFont val="Arial"/>
        <family val="2"/>
      </rPr>
      <t>30%</t>
    </r>
    <phoneticPr fontId="8" type="noConversion"/>
  </si>
  <si>
    <r>
      <rPr>
        <b/>
        <sz val="11"/>
        <rFont val="仿宋_GB2312"/>
        <family val="3"/>
        <charset val="134"/>
      </rPr>
      <t>各修正结果之间不超过</t>
    </r>
    <r>
      <rPr>
        <b/>
        <sz val="11"/>
        <color indexed="10"/>
        <rFont val="Arial"/>
        <family val="2"/>
      </rPr>
      <t>20%</t>
    </r>
    <phoneticPr fontId="8" type="noConversion"/>
  </si>
  <si>
    <r>
      <rPr>
        <b/>
        <sz val="11"/>
        <rFont val="仿宋_GB2312"/>
        <family val="3"/>
        <charset val="134"/>
      </rPr>
      <t>各案例间不超过</t>
    </r>
    <r>
      <rPr>
        <b/>
        <sz val="11"/>
        <color indexed="10"/>
        <rFont val="Arial"/>
        <family val="2"/>
      </rPr>
      <t>30%</t>
    </r>
    <phoneticPr fontId="8" type="noConversion"/>
  </si>
  <si>
    <r>
      <rPr>
        <sz val="11"/>
        <rFont val="仿宋_GB2312"/>
        <family val="3"/>
        <charset val="134"/>
      </rPr>
      <t>用途</t>
    </r>
    <r>
      <rPr>
        <sz val="11"/>
        <rFont val="Arial"/>
        <family val="2"/>
      </rPr>
      <t>/</t>
    </r>
    <r>
      <rPr>
        <sz val="11"/>
        <rFont val="仿宋_GB2312"/>
        <family val="3"/>
        <charset val="134"/>
      </rPr>
      <t>位置</t>
    </r>
    <phoneticPr fontId="31" type="noConversion"/>
  </si>
  <si>
    <r>
      <rPr>
        <sz val="11"/>
        <rFont val="仿宋_GB2312"/>
        <family val="3"/>
        <charset val="134"/>
      </rPr>
      <t>修正单价</t>
    </r>
    <phoneticPr fontId="31" type="noConversion"/>
  </si>
  <si>
    <r>
      <rPr>
        <sz val="11"/>
        <rFont val="仿宋_GB2312"/>
        <family val="3"/>
        <charset val="134"/>
      </rPr>
      <t>建筑面积</t>
    </r>
    <phoneticPr fontId="31" type="noConversion"/>
  </si>
  <si>
    <r>
      <rPr>
        <sz val="11"/>
        <rFont val="仿宋_GB2312"/>
        <family val="3"/>
        <charset val="134"/>
      </rPr>
      <t>总价</t>
    </r>
    <phoneticPr fontId="31" type="noConversion"/>
  </si>
  <si>
    <r>
      <rPr>
        <sz val="10"/>
        <rFont val="仿宋_GB2312"/>
        <family val="3"/>
        <charset val="134"/>
      </rPr>
      <t>地上</t>
    </r>
    <phoneticPr fontId="20" type="noConversion"/>
  </si>
  <si>
    <r>
      <rPr>
        <sz val="10"/>
        <rFont val="仿宋_GB2312"/>
        <family val="3"/>
        <charset val="134"/>
      </rPr>
      <t>地下商业（</t>
    </r>
    <r>
      <rPr>
        <sz val="10"/>
        <rFont val="Arial"/>
        <family val="2"/>
      </rPr>
      <t>-1</t>
    </r>
    <r>
      <rPr>
        <sz val="10"/>
        <rFont val="仿宋_GB2312"/>
        <family val="3"/>
        <charset val="134"/>
      </rPr>
      <t>）</t>
    </r>
    <phoneticPr fontId="19" type="noConversion"/>
  </si>
  <si>
    <r>
      <rPr>
        <sz val="10"/>
        <rFont val="仿宋_GB2312"/>
        <family val="3"/>
        <charset val="134"/>
      </rPr>
      <t>地下商业（</t>
    </r>
    <r>
      <rPr>
        <sz val="10"/>
        <rFont val="Arial"/>
        <family val="2"/>
      </rPr>
      <t>-2</t>
    </r>
    <r>
      <rPr>
        <sz val="10"/>
        <rFont val="仿宋_GB2312"/>
        <family val="3"/>
        <charset val="134"/>
      </rPr>
      <t>）</t>
    </r>
    <phoneticPr fontId="19" type="noConversion"/>
  </si>
  <si>
    <r>
      <rPr>
        <sz val="10"/>
        <rFont val="仿宋_GB2312"/>
        <family val="3"/>
        <charset val="134"/>
      </rPr>
      <t>地下商业（</t>
    </r>
    <r>
      <rPr>
        <sz val="10"/>
        <rFont val="Arial"/>
        <family val="2"/>
      </rPr>
      <t>-3</t>
    </r>
    <r>
      <rPr>
        <sz val="10"/>
        <rFont val="仿宋_GB2312"/>
        <family val="3"/>
        <charset val="134"/>
      </rPr>
      <t>）</t>
    </r>
    <phoneticPr fontId="19" type="noConversion"/>
  </si>
  <si>
    <r>
      <rPr>
        <sz val="10"/>
        <rFont val="仿宋_GB2312"/>
        <family val="3"/>
        <charset val="134"/>
      </rPr>
      <t>地下商业（</t>
    </r>
    <r>
      <rPr>
        <sz val="10"/>
        <rFont val="Arial"/>
        <family val="2"/>
      </rPr>
      <t>-4</t>
    </r>
    <r>
      <rPr>
        <sz val="10"/>
        <rFont val="仿宋_GB2312"/>
        <family val="3"/>
        <charset val="134"/>
      </rPr>
      <t>）</t>
    </r>
    <phoneticPr fontId="19" type="noConversion"/>
  </si>
  <si>
    <r>
      <rPr>
        <sz val="10"/>
        <rFont val="仿宋_GB2312"/>
        <family val="3"/>
        <charset val="134"/>
      </rPr>
      <t>地下仓储</t>
    </r>
    <phoneticPr fontId="19" type="noConversion"/>
  </si>
  <si>
    <r>
      <rPr>
        <sz val="10"/>
        <rFont val="仿宋_GB2312"/>
        <family val="3"/>
        <charset val="134"/>
      </rPr>
      <t>地下车库</t>
    </r>
    <phoneticPr fontId="19" type="noConversion"/>
  </si>
  <si>
    <r>
      <rPr>
        <sz val="10"/>
        <rFont val="仿宋_GB2312"/>
        <family val="3"/>
        <charset val="134"/>
      </rPr>
      <t>地下车库</t>
    </r>
    <r>
      <rPr>
        <sz val="10"/>
        <rFont val="Arial"/>
        <family val="2"/>
      </rPr>
      <t>-</t>
    </r>
    <r>
      <rPr>
        <sz val="10"/>
        <rFont val="仿宋_GB2312"/>
        <family val="3"/>
        <charset val="134"/>
      </rPr>
      <t>商业</t>
    </r>
    <phoneticPr fontId="19" type="noConversion"/>
  </si>
  <si>
    <r>
      <rPr>
        <sz val="10"/>
        <rFont val="仿宋_GB2312"/>
        <family val="3"/>
        <charset val="134"/>
      </rPr>
      <t>地下车库</t>
    </r>
    <r>
      <rPr>
        <sz val="10"/>
        <rFont val="Arial"/>
        <family val="2"/>
      </rPr>
      <t>-</t>
    </r>
    <r>
      <rPr>
        <sz val="10"/>
        <rFont val="仿宋_GB2312"/>
        <family val="3"/>
        <charset val="134"/>
      </rPr>
      <t>办公</t>
    </r>
    <phoneticPr fontId="19" type="noConversion"/>
  </si>
  <si>
    <r>
      <rPr>
        <b/>
        <sz val="10"/>
        <rFont val="仿宋_GB2312"/>
        <family val="3"/>
        <charset val="134"/>
      </rPr>
      <t>土地购买价格</t>
    </r>
    <phoneticPr fontId="19"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</si>
  <si>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8"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</si>
  <si>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6" type="noConversion"/>
  </si>
  <si>
    <r>
      <rPr>
        <sz val="11"/>
        <color indexed="8"/>
        <rFont val="仿宋_GB2312"/>
        <family val="3"/>
        <charset val="134"/>
      </rPr>
      <t>正常</t>
    </r>
    <phoneticPr fontId="26" type="noConversion"/>
  </si>
  <si>
    <r>
      <rPr>
        <b/>
        <sz val="11"/>
        <rFont val="仿宋_GB2312"/>
        <family val="3"/>
        <charset val="134"/>
      </rPr>
      <t>权益状况</t>
    </r>
    <phoneticPr fontId="8" type="noConversion"/>
  </si>
  <si>
    <r>
      <rPr>
        <sz val="11"/>
        <color indexed="8"/>
        <rFont val="仿宋_GB2312"/>
        <family val="3"/>
        <charset val="134"/>
      </rPr>
      <t>居住社区成熟度</t>
    </r>
    <phoneticPr fontId="8" type="noConversion"/>
  </si>
  <si>
    <r>
      <rPr>
        <sz val="11"/>
        <color indexed="8"/>
        <rFont val="仿宋_GB2312"/>
        <family val="3"/>
        <charset val="134"/>
      </rPr>
      <t>好</t>
    </r>
    <phoneticPr fontId="8" type="noConversion"/>
  </si>
  <si>
    <r>
      <rPr>
        <sz val="11"/>
        <color indexed="8"/>
        <rFont val="仿宋_GB2312"/>
        <family val="3"/>
        <charset val="134"/>
      </rPr>
      <t>较好</t>
    </r>
    <phoneticPr fontId="8" type="noConversion"/>
  </si>
  <si>
    <r>
      <rPr>
        <sz val="11"/>
        <color indexed="8"/>
        <rFont val="仿宋_GB2312"/>
        <family val="3"/>
        <charset val="134"/>
      </rPr>
      <t>一般</t>
    </r>
    <phoneticPr fontId="8" type="noConversion"/>
  </si>
  <si>
    <r>
      <rPr>
        <sz val="11"/>
        <color indexed="8"/>
        <rFont val="仿宋_GB2312"/>
        <family val="3"/>
        <charset val="134"/>
      </rPr>
      <t>较差</t>
    </r>
    <phoneticPr fontId="8" type="noConversion"/>
  </si>
  <si>
    <r>
      <rPr>
        <sz val="11"/>
        <color indexed="8"/>
        <rFont val="仿宋_GB2312"/>
        <family val="3"/>
        <charset val="134"/>
      </rPr>
      <t>差</t>
    </r>
    <phoneticPr fontId="8" type="noConversion"/>
  </si>
  <si>
    <r>
      <rPr>
        <sz val="11"/>
        <color indexed="8"/>
        <rFont val="仿宋_GB2312"/>
        <family val="3"/>
        <charset val="134"/>
      </rPr>
      <t>商业繁华度</t>
    </r>
    <phoneticPr fontId="8" type="noConversion"/>
  </si>
  <si>
    <r>
      <rPr>
        <sz val="11"/>
        <color indexed="8"/>
        <rFont val="仿宋_GB2312"/>
        <family val="3"/>
        <charset val="134"/>
      </rPr>
      <t>办公集聚程度</t>
    </r>
    <phoneticPr fontId="8" type="noConversion"/>
  </si>
  <si>
    <r>
      <rPr>
        <sz val="11"/>
        <color indexed="8"/>
        <rFont val="仿宋_GB2312"/>
        <family val="3"/>
        <charset val="134"/>
      </rPr>
      <t>交通便捷度</t>
    </r>
    <phoneticPr fontId="8" type="noConversion"/>
  </si>
  <si>
    <r>
      <rPr>
        <sz val="11"/>
        <color indexed="8"/>
        <rFont val="仿宋_GB2312"/>
        <family val="3"/>
        <charset val="134"/>
      </rPr>
      <t>区域土地利用方向</t>
    </r>
    <phoneticPr fontId="8" type="noConversion"/>
  </si>
  <si>
    <r>
      <rPr>
        <sz val="11"/>
        <color indexed="8"/>
        <rFont val="仿宋_GB2312"/>
        <family val="3"/>
        <charset val="134"/>
      </rPr>
      <t>自然及人文环境状况</t>
    </r>
    <phoneticPr fontId="8" type="noConversion"/>
  </si>
  <si>
    <r>
      <rPr>
        <sz val="11"/>
        <rFont val="仿宋_GB2312"/>
        <family val="3"/>
        <charset val="134"/>
      </rPr>
      <t>多面临街</t>
    </r>
    <phoneticPr fontId="31" type="noConversion"/>
  </si>
  <si>
    <r>
      <rPr>
        <sz val="11"/>
        <rFont val="仿宋_GB2312"/>
        <family val="3"/>
        <charset val="134"/>
      </rPr>
      <t>双面临街</t>
    </r>
    <phoneticPr fontId="31" type="noConversion"/>
  </si>
  <si>
    <r>
      <rPr>
        <sz val="11"/>
        <rFont val="仿宋_GB2312"/>
        <family val="3"/>
        <charset val="134"/>
      </rPr>
      <t>单面临街</t>
    </r>
    <phoneticPr fontId="31" type="noConversion"/>
  </si>
  <si>
    <r>
      <rPr>
        <sz val="11"/>
        <rFont val="仿宋_GB2312"/>
        <family val="3"/>
        <charset val="134"/>
      </rPr>
      <t>不临街</t>
    </r>
    <phoneticPr fontId="31" type="noConversion"/>
  </si>
  <si>
    <r>
      <rPr>
        <sz val="11"/>
        <color indexed="8"/>
        <rFont val="仿宋_GB2312"/>
        <family val="3"/>
        <charset val="134"/>
      </rPr>
      <t>宗地面积</t>
    </r>
    <phoneticPr fontId="8" type="noConversion"/>
  </si>
  <si>
    <r>
      <rPr>
        <sz val="11"/>
        <color indexed="8"/>
        <rFont val="仿宋_GB2312"/>
        <family val="3"/>
        <charset val="134"/>
      </rPr>
      <t>宗地形状</t>
    </r>
    <phoneticPr fontId="8" type="noConversion"/>
  </si>
  <si>
    <r>
      <rPr>
        <sz val="11"/>
        <color indexed="8"/>
        <rFont val="仿宋_GB2312"/>
        <family val="3"/>
        <charset val="134"/>
      </rPr>
      <t>临街宽度及深度</t>
    </r>
    <phoneticPr fontId="8" type="noConversion"/>
  </si>
  <si>
    <r>
      <rPr>
        <sz val="11"/>
        <color indexed="8"/>
        <rFont val="仿宋_GB2312"/>
        <family val="3"/>
        <charset val="134"/>
      </rPr>
      <t>工程地质条件</t>
    </r>
    <phoneticPr fontId="8" type="noConversion"/>
  </si>
  <si>
    <r>
      <rPr>
        <b/>
        <sz val="16"/>
        <rFont val="仿宋_GB2312"/>
        <family val="3"/>
        <charset val="134"/>
      </rPr>
      <t>工业</t>
    </r>
    <phoneticPr fontId="31" type="noConversion"/>
  </si>
  <si>
    <r>
      <rPr>
        <sz val="11"/>
        <color indexed="8"/>
        <rFont val="仿宋_GB2312"/>
        <family val="3"/>
        <charset val="134"/>
      </rPr>
      <t>产业集聚程度</t>
    </r>
    <phoneticPr fontId="33" type="noConversion"/>
  </si>
  <si>
    <r>
      <rPr>
        <sz val="11"/>
        <color indexed="8"/>
        <rFont val="仿宋_GB2312"/>
        <family val="3"/>
        <charset val="134"/>
      </rPr>
      <t>环境状况</t>
    </r>
    <phoneticPr fontId="31" type="noConversion"/>
  </si>
  <si>
    <r>
      <rPr>
        <sz val="11"/>
        <color indexed="8"/>
        <rFont val="仿宋_GB2312"/>
        <family val="3"/>
        <charset val="134"/>
      </rPr>
      <t>较好</t>
    </r>
  </si>
  <si>
    <r>
      <rPr>
        <sz val="11"/>
        <rFont val="仿宋_GB2312"/>
        <family val="3"/>
        <charset val="134"/>
      </rPr>
      <t>实物状况</t>
    </r>
    <phoneticPr fontId="8" type="noConversion"/>
  </si>
  <si>
    <r>
      <rPr>
        <sz val="11"/>
        <color indexed="8"/>
        <rFont val="仿宋_GB2312"/>
        <family val="3"/>
        <charset val="134"/>
      </rPr>
      <t>产业集聚程度</t>
    </r>
    <phoneticPr fontId="8" type="noConversion"/>
  </si>
  <si>
    <r>
      <rPr>
        <b/>
        <sz val="16"/>
        <color indexed="10"/>
        <rFont val="仿宋_GB2312"/>
        <family val="3"/>
        <charset val="134"/>
      </rPr>
      <t>成本逼近法</t>
    </r>
    <phoneticPr fontId="19" type="noConversion"/>
  </si>
  <si>
    <r>
      <rPr>
        <b/>
        <sz val="10"/>
        <rFont val="仿宋_GB2312"/>
        <family val="3"/>
        <charset val="134"/>
      </rPr>
      <t>项目</t>
    </r>
    <phoneticPr fontId="20" type="noConversion"/>
  </si>
  <si>
    <r>
      <rPr>
        <b/>
        <sz val="10"/>
        <rFont val="仿宋_GB2312"/>
        <family val="3"/>
        <charset val="134"/>
      </rPr>
      <t>总额</t>
    </r>
    <phoneticPr fontId="20" type="noConversion"/>
  </si>
  <si>
    <r>
      <rPr>
        <b/>
        <sz val="10"/>
        <rFont val="仿宋_GB2312"/>
        <family val="3"/>
        <charset val="134"/>
      </rPr>
      <t>面积</t>
    </r>
    <phoneticPr fontId="19" type="noConversion"/>
  </si>
  <si>
    <r>
      <rPr>
        <b/>
        <sz val="10"/>
        <rFont val="仿宋_GB2312"/>
        <family val="3"/>
        <charset val="134"/>
      </rPr>
      <t>单价</t>
    </r>
    <phoneticPr fontId="19" type="noConversion"/>
  </si>
  <si>
    <r>
      <rPr>
        <b/>
        <sz val="10"/>
        <rFont val="仿宋_GB2312"/>
        <family val="3"/>
        <charset val="134"/>
      </rPr>
      <t>系数</t>
    </r>
    <phoneticPr fontId="19" type="noConversion"/>
  </si>
  <si>
    <r>
      <rPr>
        <b/>
        <sz val="10"/>
        <rFont val="仿宋_GB2312"/>
        <family val="3"/>
        <charset val="134"/>
      </rPr>
      <t>土地取得费</t>
    </r>
    <phoneticPr fontId="19" type="noConversion"/>
  </si>
  <si>
    <r>
      <rPr>
        <sz val="10"/>
        <rFont val="仿宋_GB2312"/>
        <family val="3"/>
        <charset val="134"/>
      </rPr>
      <t>城市基础设施建设费（行政收费）</t>
    </r>
    <phoneticPr fontId="19" type="noConversion"/>
  </si>
  <si>
    <r>
      <rPr>
        <i/>
        <sz val="10"/>
        <rFont val="仿宋_GB2312"/>
        <family val="3"/>
        <charset val="134"/>
      </rPr>
      <t>住宅</t>
    </r>
    <phoneticPr fontId="19" type="noConversion"/>
  </si>
  <si>
    <r>
      <rPr>
        <i/>
        <sz val="10"/>
        <rFont val="仿宋_GB2312"/>
        <family val="3"/>
        <charset val="134"/>
      </rPr>
      <t>非住宅</t>
    </r>
    <phoneticPr fontId="19" type="noConversion"/>
  </si>
  <si>
    <r>
      <rPr>
        <b/>
        <sz val="10"/>
        <rFont val="仿宋_GB2312"/>
        <family val="3"/>
        <charset val="134"/>
      </rPr>
      <t>土地开发费</t>
    </r>
    <phoneticPr fontId="19" type="noConversion"/>
  </si>
  <si>
    <r>
      <rPr>
        <sz val="10"/>
        <rFont val="仿宋_GB2312"/>
        <family val="3"/>
        <charset val="134"/>
      </rPr>
      <t>即宗地红线外市政费用及宗地红线内土地平整费用，根据待估宗地区域对土地开发成本来估算。</t>
    </r>
    <phoneticPr fontId="20" type="noConversion"/>
  </si>
  <si>
    <r>
      <rPr>
        <b/>
        <sz val="10"/>
        <rFont val="仿宋_GB2312"/>
        <family val="3"/>
        <charset val="134"/>
      </rPr>
      <t>税费</t>
    </r>
    <phoneticPr fontId="20" type="noConversion"/>
  </si>
  <si>
    <r>
      <rPr>
        <b/>
        <sz val="10"/>
        <rFont val="仿宋_GB2312"/>
        <family val="3"/>
        <charset val="134"/>
      </rPr>
      <t>贷款利息</t>
    </r>
    <phoneticPr fontId="19" type="noConversion"/>
  </si>
  <si>
    <r>
      <rPr>
        <b/>
        <sz val="10"/>
        <rFont val="仿宋_GB2312"/>
        <family val="3"/>
        <charset val="134"/>
      </rPr>
      <t>利润</t>
    </r>
    <phoneticPr fontId="19" type="noConversion"/>
  </si>
  <si>
    <r>
      <rPr>
        <b/>
        <sz val="10"/>
        <rFont val="仿宋_GB2312"/>
        <family val="3"/>
        <charset val="134"/>
      </rPr>
      <t>（１＋２＋３）</t>
    </r>
    <r>
      <rPr>
        <b/>
        <sz val="10"/>
        <rFont val="Arial"/>
        <family val="2"/>
      </rPr>
      <t>×</t>
    </r>
    <r>
      <rPr>
        <b/>
        <sz val="10"/>
        <rFont val="仿宋_GB2312"/>
        <family val="3"/>
        <charset val="134"/>
      </rPr>
      <t>利润率</t>
    </r>
    <phoneticPr fontId="19" type="noConversion"/>
  </si>
  <si>
    <r>
      <rPr>
        <b/>
        <sz val="10"/>
        <rFont val="仿宋_GB2312"/>
        <family val="3"/>
        <charset val="134"/>
      </rPr>
      <t>土地成本价格</t>
    </r>
    <phoneticPr fontId="20" type="noConversion"/>
  </si>
  <si>
    <r>
      <t>1-</t>
    </r>
    <r>
      <rPr>
        <b/>
        <sz val="10"/>
        <rFont val="仿宋_GB2312"/>
        <family val="3"/>
        <charset val="134"/>
      </rPr>
      <t>５项之和</t>
    </r>
    <phoneticPr fontId="20" type="noConversion"/>
  </si>
  <si>
    <r>
      <rPr>
        <b/>
        <sz val="10"/>
        <rFont val="仿宋_GB2312"/>
        <family val="3"/>
        <charset val="134"/>
      </rPr>
      <t>土地增值</t>
    </r>
    <phoneticPr fontId="20"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</si>
  <si>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20" type="noConversion"/>
  </si>
  <si>
    <r>
      <rPr>
        <b/>
        <sz val="10"/>
        <rFont val="仿宋_GB2312"/>
        <family val="3"/>
        <charset val="134"/>
      </rPr>
      <t>无线年期土地价格</t>
    </r>
    <phoneticPr fontId="20" type="noConversion"/>
  </si>
  <si>
    <r>
      <rPr>
        <b/>
        <sz val="10"/>
        <rFont val="仿宋_GB2312"/>
        <family val="3"/>
        <charset val="134"/>
      </rPr>
      <t>６＋７</t>
    </r>
    <phoneticPr fontId="20" type="noConversion"/>
  </si>
  <si>
    <r>
      <rPr>
        <b/>
        <sz val="10"/>
        <rFont val="仿宋_GB2312"/>
        <family val="3"/>
        <charset val="134"/>
      </rPr>
      <t>有限年期土地价格</t>
    </r>
    <phoneticPr fontId="20" type="noConversion"/>
  </si>
  <si>
    <r>
      <rPr>
        <b/>
        <sz val="10"/>
        <rFont val="仿宋_GB2312"/>
        <family val="3"/>
        <charset val="134"/>
      </rPr>
      <t>８</t>
    </r>
    <r>
      <rPr>
        <b/>
        <sz val="10"/>
        <rFont val="Arial"/>
        <family val="2"/>
      </rPr>
      <t>×</t>
    </r>
    <r>
      <rPr>
        <b/>
        <sz val="10"/>
        <rFont val="仿宋_GB2312"/>
        <family val="3"/>
        <charset val="134"/>
      </rPr>
      <t>年期修正系数</t>
    </r>
    <phoneticPr fontId="20" type="noConversion"/>
  </si>
  <si>
    <r>
      <rPr>
        <b/>
        <sz val="10"/>
        <rFont val="仿宋_GB2312"/>
        <family val="3"/>
        <charset val="134"/>
      </rPr>
      <t>土地价格</t>
    </r>
    <r>
      <rPr>
        <b/>
        <sz val="10"/>
        <rFont val="Arial"/>
        <family val="2"/>
      </rPr>
      <t>-</t>
    </r>
    <r>
      <rPr>
        <b/>
        <sz val="10"/>
        <rFont val="仿宋_GB2312"/>
        <family val="3"/>
        <charset val="134"/>
      </rPr>
      <t>总价</t>
    </r>
    <phoneticPr fontId="20" type="noConversion"/>
  </si>
  <si>
    <r>
      <rPr>
        <b/>
        <sz val="16"/>
        <color indexed="10"/>
        <rFont val="仿宋_GB2312"/>
        <family val="3"/>
        <charset val="134"/>
      </rPr>
      <t>收益还原法</t>
    </r>
    <phoneticPr fontId="8" type="noConversion"/>
  </si>
  <si>
    <r>
      <rPr>
        <b/>
        <sz val="12"/>
        <rFont val="仿宋_GB2312"/>
        <family val="3"/>
        <charset val="134"/>
      </rPr>
      <t>总价</t>
    </r>
    <phoneticPr fontId="20" type="noConversion"/>
  </si>
  <si>
    <r>
      <rPr>
        <sz val="10"/>
        <color indexed="8"/>
        <rFont val="仿宋_GB2312"/>
        <family val="3"/>
        <charset val="134"/>
      </rPr>
      <t>序号</t>
    </r>
    <phoneticPr fontId="8" type="noConversion"/>
  </si>
  <si>
    <r>
      <rPr>
        <sz val="10"/>
        <color indexed="8"/>
        <rFont val="仿宋_GB2312"/>
        <family val="3"/>
        <charset val="134"/>
      </rPr>
      <t>项目</t>
    </r>
    <phoneticPr fontId="8" type="noConversion"/>
  </si>
  <si>
    <r>
      <rPr>
        <sz val="10"/>
        <color indexed="8"/>
        <rFont val="仿宋_GB2312"/>
        <family val="3"/>
        <charset val="134"/>
      </rPr>
      <t>数额</t>
    </r>
    <phoneticPr fontId="8" type="noConversion"/>
  </si>
  <si>
    <r>
      <rPr>
        <sz val="10"/>
        <color indexed="8"/>
        <rFont val="仿宋_GB2312"/>
        <family val="3"/>
        <charset val="134"/>
      </rPr>
      <t>计算公式</t>
    </r>
    <phoneticPr fontId="8" type="noConversion"/>
  </si>
  <si>
    <r>
      <rPr>
        <sz val="10"/>
        <color indexed="8"/>
        <rFont val="仿宋_GB2312"/>
        <family val="3"/>
        <charset val="134"/>
      </rPr>
      <t>取费标准</t>
    </r>
    <phoneticPr fontId="8" type="noConversion"/>
  </si>
  <si>
    <r>
      <rPr>
        <b/>
        <sz val="10"/>
        <color indexed="8"/>
        <rFont val="仿宋_GB2312"/>
        <family val="3"/>
        <charset val="134"/>
      </rPr>
      <t>未来第一年年总收益</t>
    </r>
    <phoneticPr fontId="8"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</si>
  <si>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8" type="noConversion"/>
  </si>
  <si>
    <r>
      <rPr>
        <sz val="10"/>
        <color indexed="8"/>
        <rFont val="仿宋_GB2312"/>
        <family val="3"/>
        <charset val="134"/>
      </rPr>
      <t>租金</t>
    </r>
    <phoneticPr fontId="8"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</si>
  <si>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8"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</si>
  <si>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8"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</si>
  <si>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8" type="noConversion"/>
  </si>
  <si>
    <r>
      <rPr>
        <b/>
        <sz val="10"/>
        <color indexed="8"/>
        <rFont val="仿宋_GB2312"/>
        <family val="3"/>
        <charset val="134"/>
      </rPr>
      <t>建筑物价格</t>
    </r>
    <phoneticPr fontId="8"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</si>
  <si>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8"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</si>
  <si>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8" type="noConversion"/>
  </si>
  <si>
    <r>
      <rPr>
        <b/>
        <sz val="10"/>
        <color indexed="8"/>
        <rFont val="仿宋_GB2312"/>
        <family val="3"/>
        <charset val="134"/>
      </rPr>
      <t>建筑物现值</t>
    </r>
    <phoneticPr fontId="8"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</si>
  <si>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</si>
  <si>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8"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</si>
  <si>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</si>
  <si>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8"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</si>
  <si>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</si>
  <si>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公共配套设施费用</t>
    </r>
  </si>
  <si>
    <r>
      <rPr>
        <b/>
        <sz val="10"/>
        <color indexed="8"/>
        <rFont val="仿宋_GB2312"/>
        <family val="3"/>
        <charset val="134"/>
      </rPr>
      <t>年经营费用</t>
    </r>
    <phoneticPr fontId="8"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</si>
  <si>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8"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</si>
  <si>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</si>
  <si>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8"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</si>
  <si>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</si>
  <si>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</si>
  <si>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8" type="noConversion"/>
  </si>
  <si>
    <r>
      <rPr>
        <sz val="10"/>
        <color indexed="8"/>
        <rFont val="仿宋_GB2312"/>
        <family val="3"/>
        <charset val="134"/>
      </rPr>
      <t>综合税率</t>
    </r>
    <phoneticPr fontId="8" type="noConversion"/>
  </si>
  <si>
    <r>
      <rPr>
        <sz val="10"/>
        <color indexed="8"/>
        <rFont val="仿宋_GB2312"/>
        <family val="3"/>
        <charset val="134"/>
      </rPr>
      <t>相关税费</t>
    </r>
  </si>
  <si>
    <r>
      <rPr>
        <sz val="10"/>
        <color indexed="8"/>
        <rFont val="仿宋_GB2312"/>
        <family val="3"/>
        <charset val="134"/>
      </rPr>
      <t>两税两费</t>
    </r>
    <phoneticPr fontId="8"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</si>
  <si>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8"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</si>
  <si>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</si>
  <si>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8" type="noConversion"/>
  </si>
  <si>
    <r>
      <rPr>
        <sz val="10"/>
        <color indexed="8"/>
        <rFont val="仿宋_GB2312"/>
        <family val="3"/>
        <charset val="134"/>
      </rPr>
      <t>房产税</t>
    </r>
    <phoneticPr fontId="8"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</si>
  <si>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</si>
  <si>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</si>
  <si>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8" type="noConversion"/>
  </si>
  <si>
    <r>
      <rPr>
        <sz val="10"/>
        <color indexed="8"/>
        <rFont val="仿宋_GB2312"/>
        <family val="3"/>
        <charset val="134"/>
      </rPr>
      <t>城镇土地使用税</t>
    </r>
    <phoneticPr fontId="8"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</si>
  <si>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8"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</si>
  <si>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</si>
  <si>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销售费用</t>
    </r>
    <phoneticPr fontId="8"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</si>
  <si>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8"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</si>
  <si>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</si>
  <si>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土地面积（㎡）</t>
    </r>
    <phoneticPr fontId="8" type="noConversion"/>
  </si>
  <si>
    <r>
      <rPr>
        <sz val="10"/>
        <color indexed="8"/>
        <rFont val="仿宋_GB2312"/>
        <family val="3"/>
        <charset val="134"/>
      </rPr>
      <t>贷款利息</t>
    </r>
    <phoneticPr fontId="8" type="noConversion"/>
  </si>
  <si>
    <r>
      <rPr>
        <sz val="10"/>
        <color indexed="8"/>
        <rFont val="仿宋_GB2312"/>
        <family val="3"/>
        <charset val="134"/>
      </rPr>
      <t>维修费</t>
    </r>
    <phoneticPr fontId="8"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</si>
  <si>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8" type="noConversion"/>
  </si>
  <si>
    <r>
      <rPr>
        <sz val="10"/>
        <color indexed="8"/>
        <rFont val="仿宋_GB2312"/>
        <family val="3"/>
        <charset val="134"/>
      </rPr>
      <t>建设周期（年）</t>
    </r>
    <phoneticPr fontId="8"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</si>
  <si>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</si>
  <si>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8" type="noConversion"/>
  </si>
  <si>
    <r>
      <rPr>
        <sz val="10"/>
        <color indexed="8"/>
        <rFont val="仿宋_GB2312"/>
        <family val="3"/>
        <charset val="134"/>
      </rPr>
      <t>销售费用产生的利息</t>
    </r>
    <phoneticPr fontId="8"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</si>
  <si>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</si>
  <si>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8"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</si>
  <si>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</si>
  <si>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8"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</si>
  <si>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</si>
  <si>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</si>
  <si>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8" type="noConversion"/>
  </si>
  <si>
    <r>
      <rPr>
        <b/>
        <sz val="10"/>
        <color indexed="8"/>
        <rFont val="仿宋_GB2312"/>
        <family val="3"/>
        <charset val="134"/>
      </rPr>
      <t>年总费用</t>
    </r>
    <phoneticPr fontId="8" type="noConversion"/>
  </si>
  <si>
    <r>
      <rPr>
        <sz val="10"/>
        <color indexed="8"/>
        <rFont val="仿宋_GB2312"/>
        <family val="3"/>
        <charset val="134"/>
      </rPr>
      <t>综合税率</t>
    </r>
    <phoneticPr fontId="2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</si>
  <si>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8" type="noConversion"/>
  </si>
  <si>
    <r>
      <rPr>
        <b/>
        <sz val="10"/>
        <color indexed="8"/>
        <rFont val="仿宋_GB2312"/>
        <family val="3"/>
        <charset val="134"/>
      </rPr>
      <t>土地价格</t>
    </r>
    <phoneticPr fontId="8" type="noConversion"/>
  </si>
  <si>
    <r>
      <rPr>
        <sz val="11"/>
        <color indexed="8"/>
        <rFont val="仿宋_GB2312"/>
        <family val="3"/>
        <charset val="134"/>
      </rPr>
      <t>房地年纯收益</t>
    </r>
    <phoneticPr fontId="6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</si>
  <si>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8" type="noConversion"/>
  </si>
  <si>
    <r>
      <rPr>
        <b/>
        <sz val="16"/>
        <rFont val="仿宋_GB2312"/>
        <family val="3"/>
        <charset val="134"/>
      </rPr>
      <t>租约外</t>
    </r>
    <phoneticPr fontId="8" type="noConversion"/>
  </si>
  <si>
    <r>
      <rPr>
        <b/>
        <sz val="11"/>
        <rFont val="仿宋_GB2312"/>
        <family val="3"/>
        <charset val="134"/>
      </rPr>
      <t>单位面积地价</t>
    </r>
    <phoneticPr fontId="31"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</si>
  <si>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1" type="noConversion"/>
  </si>
  <si>
    <r>
      <rPr>
        <sz val="10"/>
        <color indexed="8"/>
        <rFont val="仿宋_GB2312"/>
        <family val="3"/>
        <charset val="134"/>
      </rPr>
      <t>序号</t>
    </r>
    <phoneticPr fontId="8" type="noConversion"/>
  </si>
  <si>
    <r>
      <rPr>
        <sz val="10"/>
        <color indexed="8"/>
        <rFont val="仿宋_GB2312"/>
        <family val="3"/>
        <charset val="134"/>
      </rPr>
      <t>项目</t>
    </r>
    <phoneticPr fontId="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</si>
  <si>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8"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</si>
  <si>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8"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</si>
  <si>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8" type="noConversion"/>
  </si>
  <si>
    <r>
      <rPr>
        <b/>
        <sz val="10"/>
        <color indexed="8"/>
        <rFont val="仿宋_GB2312"/>
        <family val="3"/>
        <charset val="134"/>
      </rPr>
      <t>租约外房地产收益价值</t>
    </r>
    <phoneticPr fontId="8" type="noConversion"/>
  </si>
  <si>
    <r>
      <rPr>
        <sz val="10"/>
        <color indexed="8"/>
        <rFont val="仿宋_GB2312"/>
        <family val="3"/>
        <charset val="134"/>
      </rPr>
      <t>房地产未来第一年净收益</t>
    </r>
    <r>
      <rPr>
        <sz val="10"/>
        <color indexed="8"/>
        <rFont val="Arial"/>
        <family val="2"/>
      </rPr>
      <t>×</t>
    </r>
    <phoneticPr fontId="8"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</si>
  <si>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8"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</si>
  <si>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8"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</si>
  <si>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8" type="noConversion"/>
  </si>
  <si>
    <r>
      <rPr>
        <sz val="10"/>
        <color indexed="8"/>
        <rFont val="仿宋_GB2312"/>
        <family val="3"/>
        <charset val="134"/>
      </rPr>
      <t>收益年期</t>
    </r>
    <r>
      <rPr>
        <sz val="10"/>
        <color indexed="8"/>
        <rFont val="Arial"/>
        <family val="2"/>
      </rPr>
      <t>(n)</t>
    </r>
    <phoneticPr fontId="8"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</si>
  <si>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8" type="noConversion"/>
  </si>
  <si>
    <r>
      <rPr>
        <sz val="10"/>
        <color indexed="8"/>
        <rFont val="仿宋_GB2312"/>
        <family val="3"/>
        <charset val="134"/>
      </rPr>
      <t>年增长比率</t>
    </r>
    <r>
      <rPr>
        <sz val="10"/>
        <color indexed="8"/>
        <rFont val="Arial"/>
        <family val="2"/>
      </rPr>
      <t>(g)</t>
    </r>
    <phoneticPr fontId="8" type="noConversion"/>
  </si>
  <si>
    <r>
      <rPr>
        <sz val="11"/>
        <color indexed="8"/>
        <rFont val="仿宋_GB2312"/>
        <family val="3"/>
        <charset val="134"/>
      </rPr>
      <t>房屋年纯收益</t>
    </r>
    <phoneticPr fontId="66"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</si>
  <si>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6" type="noConversion"/>
  </si>
  <si>
    <r>
      <rPr>
        <sz val="11"/>
        <color indexed="8"/>
        <rFont val="仿宋_GB2312"/>
        <family val="3"/>
        <charset val="134"/>
      </rPr>
      <t>土地年纯收益</t>
    </r>
    <phoneticPr fontId="66"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</si>
  <si>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6" type="noConversion"/>
  </si>
  <si>
    <r>
      <rPr>
        <sz val="11"/>
        <color indexed="8"/>
        <rFont val="仿宋_GB2312"/>
        <family val="3"/>
        <charset val="134"/>
      </rPr>
      <t>土地价格</t>
    </r>
    <phoneticPr fontId="66"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</si>
  <si>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8"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</si>
  <si>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8" type="noConversion"/>
  </si>
  <si>
    <r>
      <rPr>
        <b/>
        <sz val="16"/>
        <color indexed="10"/>
        <rFont val="仿宋_GB2312"/>
        <family val="3"/>
        <charset val="134"/>
      </rPr>
      <t>比较法</t>
    </r>
    <phoneticPr fontId="8" type="noConversion"/>
  </si>
  <si>
    <r>
      <rPr>
        <b/>
        <sz val="16"/>
        <rFont val="仿宋_GB2312"/>
        <family val="3"/>
        <charset val="134"/>
      </rPr>
      <t>住宅</t>
    </r>
    <phoneticPr fontId="8" type="noConversion"/>
  </si>
  <si>
    <r>
      <rPr>
        <b/>
        <sz val="16"/>
        <rFont val="仿宋_GB2312"/>
        <family val="3"/>
        <charset val="134"/>
      </rPr>
      <t>─</t>
    </r>
    <phoneticPr fontId="26"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</si>
  <si>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6" type="noConversion"/>
  </si>
  <si>
    <r>
      <rPr>
        <b/>
        <sz val="12"/>
        <rFont val="仿宋_GB2312"/>
        <family val="3"/>
        <charset val="134"/>
      </rPr>
      <t>建筑面积</t>
    </r>
    <phoneticPr fontId="26" type="noConversion"/>
  </si>
  <si>
    <r>
      <rPr>
        <sz val="11"/>
        <color indexed="8"/>
        <rFont val="仿宋_GB2312"/>
        <family val="3"/>
        <charset val="134"/>
      </rPr>
      <t>朝向</t>
    </r>
  </si>
  <si>
    <r>
      <rPr>
        <sz val="11"/>
        <color indexed="8"/>
        <rFont val="仿宋_GB2312"/>
        <family val="3"/>
        <charset val="134"/>
      </rPr>
      <t>道路级别</t>
    </r>
    <phoneticPr fontId="26"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</si>
  <si>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</si>
  <si>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</si>
  <si>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</si>
  <si>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</si>
  <si>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</si>
  <si>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</si>
  <si>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</si>
  <si>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</si>
  <si>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8"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</si>
  <si>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</si>
  <si>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</si>
  <si>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8" type="noConversion"/>
  </si>
  <si>
    <r>
      <t>60-70</t>
    </r>
    <r>
      <rPr>
        <sz val="11"/>
        <rFont val="仿宋_GB2312"/>
        <family val="3"/>
        <charset val="134"/>
      </rPr>
      <t>（含）</t>
    </r>
    <phoneticPr fontId="26" type="noConversion"/>
  </si>
  <si>
    <r>
      <t>50-60</t>
    </r>
    <r>
      <rPr>
        <sz val="11"/>
        <rFont val="仿宋_GB2312"/>
        <family val="3"/>
        <charset val="134"/>
      </rPr>
      <t>（含）</t>
    </r>
    <phoneticPr fontId="26" type="noConversion"/>
  </si>
  <si>
    <r>
      <t>40-50</t>
    </r>
    <r>
      <rPr>
        <sz val="11"/>
        <rFont val="仿宋_GB2312"/>
        <family val="3"/>
        <charset val="134"/>
      </rPr>
      <t>（含）</t>
    </r>
    <phoneticPr fontId="26" type="noConversion"/>
  </si>
  <si>
    <r>
      <t>30-40</t>
    </r>
    <r>
      <rPr>
        <sz val="11"/>
        <rFont val="仿宋_GB2312"/>
        <family val="3"/>
        <charset val="134"/>
      </rPr>
      <t>（含）</t>
    </r>
    <phoneticPr fontId="26" type="noConversion"/>
  </si>
  <si>
    <r>
      <t>20-30</t>
    </r>
    <r>
      <rPr>
        <sz val="11"/>
        <rFont val="仿宋_GB2312"/>
        <family val="3"/>
        <charset val="134"/>
      </rPr>
      <t>（含）</t>
    </r>
    <phoneticPr fontId="26" type="noConversion"/>
  </si>
  <si>
    <r>
      <t>10-20</t>
    </r>
    <r>
      <rPr>
        <sz val="11"/>
        <rFont val="仿宋_GB2312"/>
        <family val="3"/>
        <charset val="134"/>
      </rPr>
      <t>（含）</t>
    </r>
    <phoneticPr fontId="26" type="noConversion"/>
  </si>
  <si>
    <r>
      <t>0-10</t>
    </r>
    <r>
      <rPr>
        <sz val="11"/>
        <rFont val="仿宋_GB2312"/>
        <family val="3"/>
        <charset val="134"/>
      </rPr>
      <t>（含）</t>
    </r>
    <phoneticPr fontId="26" type="noConversion"/>
  </si>
  <si>
    <r>
      <rPr>
        <sz val="11"/>
        <color indexed="8"/>
        <rFont val="仿宋_GB2312"/>
        <family val="3"/>
        <charset val="134"/>
      </rPr>
      <t>自然及人文环境</t>
    </r>
    <phoneticPr fontId="8" type="noConversion"/>
  </si>
  <si>
    <r>
      <rPr>
        <sz val="11"/>
        <color indexed="8"/>
        <rFont val="仿宋_GB2312"/>
        <family val="3"/>
        <charset val="134"/>
      </rPr>
      <t>楼层</t>
    </r>
    <phoneticPr fontId="8" type="noConversion"/>
  </si>
  <si>
    <r>
      <rPr>
        <sz val="11"/>
        <color indexed="8"/>
        <rFont val="仿宋_GB2312"/>
        <family val="3"/>
        <charset val="134"/>
      </rPr>
      <t>朝向</t>
    </r>
    <phoneticPr fontId="8" type="noConversion"/>
  </si>
  <si>
    <r>
      <rPr>
        <sz val="11"/>
        <color indexed="8"/>
        <rFont val="仿宋_GB2312"/>
        <family val="3"/>
        <charset val="134"/>
      </rPr>
      <t>建筑类型</t>
    </r>
    <phoneticPr fontId="8" type="noConversion"/>
  </si>
  <si>
    <r>
      <rPr>
        <sz val="11"/>
        <color indexed="8"/>
        <rFont val="仿宋_GB2312"/>
        <family val="3"/>
        <charset val="134"/>
      </rPr>
      <t>项目建筑规模</t>
    </r>
    <phoneticPr fontId="8" type="noConversion"/>
  </si>
  <si>
    <r>
      <rPr>
        <sz val="11"/>
        <color indexed="8"/>
        <rFont val="仿宋_GB2312"/>
        <family val="3"/>
        <charset val="134"/>
      </rPr>
      <t>建筑结构</t>
    </r>
    <phoneticPr fontId="8" type="noConversion"/>
  </si>
  <si>
    <r>
      <rPr>
        <sz val="11"/>
        <color indexed="8"/>
        <rFont val="仿宋_GB2312"/>
        <family val="3"/>
        <charset val="134"/>
      </rPr>
      <t>建筑品质</t>
    </r>
    <phoneticPr fontId="8" type="noConversion"/>
  </si>
  <si>
    <r>
      <rPr>
        <sz val="11"/>
        <color indexed="8"/>
        <rFont val="仿宋_GB2312"/>
        <family val="3"/>
        <charset val="134"/>
      </rPr>
      <t>公共部分装修</t>
    </r>
    <phoneticPr fontId="8" type="noConversion"/>
  </si>
  <si>
    <r>
      <rPr>
        <sz val="11"/>
        <color indexed="8"/>
        <rFont val="仿宋_GB2312"/>
        <family val="3"/>
        <charset val="134"/>
      </rPr>
      <t>成新度</t>
    </r>
    <phoneticPr fontId="8" type="noConversion"/>
  </si>
  <si>
    <r>
      <rPr>
        <sz val="11"/>
        <color indexed="8"/>
        <rFont val="仿宋_GB2312"/>
        <family val="3"/>
        <charset val="134"/>
      </rPr>
      <t>物业管理</t>
    </r>
    <phoneticPr fontId="8" type="noConversion"/>
  </si>
  <si>
    <r>
      <rPr>
        <sz val="11"/>
        <color indexed="8"/>
        <rFont val="仿宋_GB2312"/>
        <family val="3"/>
        <charset val="134"/>
      </rPr>
      <t>房型</t>
    </r>
    <phoneticPr fontId="8" type="noConversion"/>
  </si>
  <si>
    <r>
      <rPr>
        <sz val="11"/>
        <color indexed="8"/>
        <rFont val="仿宋_GB2312"/>
        <family val="3"/>
        <charset val="134"/>
      </rPr>
      <t>内部装修</t>
    </r>
    <phoneticPr fontId="8" type="noConversion"/>
  </si>
  <si>
    <r>
      <rPr>
        <sz val="11"/>
        <color indexed="8"/>
        <rFont val="仿宋_GB2312"/>
        <family val="3"/>
        <charset val="134"/>
      </rPr>
      <t>内部装修维护情况</t>
    </r>
    <phoneticPr fontId="8" type="noConversion"/>
  </si>
  <si>
    <r>
      <rPr>
        <b/>
        <sz val="16"/>
        <rFont val="仿宋_GB2312"/>
        <family val="3"/>
        <charset val="134"/>
      </rPr>
      <t>商业</t>
    </r>
    <phoneticPr fontId="8"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</si>
  <si>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31" type="noConversion"/>
  </si>
  <si>
    <r>
      <rPr>
        <sz val="11"/>
        <color indexed="8"/>
        <rFont val="仿宋_GB2312"/>
        <family val="3"/>
        <charset val="134"/>
      </rPr>
      <t>人流量</t>
    </r>
    <phoneticPr fontId="31" type="noConversion"/>
  </si>
  <si>
    <r>
      <rPr>
        <sz val="11"/>
        <color indexed="8"/>
        <rFont val="仿宋_GB2312"/>
        <family val="3"/>
        <charset val="134"/>
      </rPr>
      <t>一般</t>
    </r>
  </si>
  <si>
    <r>
      <rPr>
        <sz val="11"/>
        <color indexed="8"/>
        <rFont val="仿宋_GB2312"/>
        <family val="3"/>
        <charset val="134"/>
      </rPr>
      <t>楼层</t>
    </r>
    <phoneticPr fontId="31" type="noConversion"/>
  </si>
  <si>
    <r>
      <rPr>
        <sz val="11"/>
        <color indexed="8"/>
        <rFont val="仿宋_GB2312"/>
        <family val="3"/>
        <charset val="134"/>
      </rPr>
      <t>商业类型</t>
    </r>
    <phoneticPr fontId="31" type="noConversion"/>
  </si>
  <si>
    <r>
      <rPr>
        <sz val="11"/>
        <color indexed="8"/>
        <rFont val="仿宋_GB2312"/>
        <family val="3"/>
        <charset val="134"/>
      </rPr>
      <t>公共部分装修</t>
    </r>
    <phoneticPr fontId="31" type="noConversion"/>
  </si>
  <si>
    <r>
      <rPr>
        <sz val="11"/>
        <color indexed="8"/>
        <rFont val="仿宋_GB2312"/>
        <family val="3"/>
        <charset val="134"/>
      </rPr>
      <t>成新度</t>
    </r>
    <phoneticPr fontId="31" type="noConversion"/>
  </si>
  <si>
    <r>
      <rPr>
        <sz val="11"/>
        <color indexed="8"/>
        <rFont val="仿宋_GB2312"/>
        <family val="3"/>
        <charset val="134"/>
      </rPr>
      <t>业态</t>
    </r>
    <phoneticPr fontId="31" type="noConversion"/>
  </si>
  <si>
    <r>
      <rPr>
        <sz val="11"/>
        <rFont val="仿宋_GB2312"/>
        <family val="3"/>
        <charset val="134"/>
      </rPr>
      <t>实物状况</t>
    </r>
    <phoneticPr fontId="8" type="noConversion"/>
  </si>
  <si>
    <r>
      <rPr>
        <sz val="11"/>
        <color indexed="8"/>
        <rFont val="仿宋_GB2312"/>
        <family val="3"/>
        <charset val="134"/>
      </rPr>
      <t>层高</t>
    </r>
    <phoneticPr fontId="31" type="noConversion"/>
  </si>
  <si>
    <r>
      <rPr>
        <sz val="11"/>
        <color indexed="8"/>
        <rFont val="仿宋_GB2312"/>
        <family val="3"/>
        <charset val="134"/>
      </rPr>
      <t>单套建筑面积</t>
    </r>
    <phoneticPr fontId="31" type="noConversion"/>
  </si>
  <si>
    <r>
      <rPr>
        <sz val="11"/>
        <rFont val="仿宋_GB2312"/>
        <family val="3"/>
        <charset val="134"/>
      </rPr>
      <t>进深比</t>
    </r>
    <phoneticPr fontId="8" type="noConversion"/>
  </si>
  <si>
    <r>
      <rPr>
        <sz val="11"/>
        <color indexed="8"/>
        <rFont val="仿宋_GB2312"/>
        <family val="3"/>
        <charset val="134"/>
      </rPr>
      <t>内部装修</t>
    </r>
    <phoneticPr fontId="31" type="noConversion"/>
  </si>
  <si>
    <r>
      <rPr>
        <sz val="11"/>
        <color indexed="8"/>
        <rFont val="仿宋_GB2312"/>
        <family val="3"/>
        <charset val="134"/>
      </rPr>
      <t>临街状况</t>
    </r>
    <phoneticPr fontId="8" type="noConversion"/>
  </si>
  <si>
    <r>
      <rPr>
        <sz val="11"/>
        <color indexed="8"/>
        <rFont val="仿宋_GB2312"/>
        <family val="3"/>
        <charset val="134"/>
      </rPr>
      <t>商业类型</t>
    </r>
    <phoneticPr fontId="8" type="noConversion"/>
  </si>
  <si>
    <r>
      <rPr>
        <sz val="11"/>
        <color indexed="8"/>
        <rFont val="仿宋_GB2312"/>
        <family val="3"/>
        <charset val="134"/>
      </rPr>
      <t>业态</t>
    </r>
    <phoneticPr fontId="8" type="noConversion"/>
  </si>
  <si>
    <r>
      <rPr>
        <sz val="11"/>
        <color indexed="8"/>
        <rFont val="仿宋_GB2312"/>
        <family val="3"/>
        <charset val="134"/>
      </rPr>
      <t>层高</t>
    </r>
    <phoneticPr fontId="8" type="noConversion"/>
  </si>
  <si>
    <r>
      <rPr>
        <sz val="11"/>
        <color indexed="8"/>
        <rFont val="仿宋_GB2312"/>
        <family val="3"/>
        <charset val="134"/>
      </rPr>
      <t>单套建筑面积</t>
    </r>
    <phoneticPr fontId="8" type="noConversion"/>
  </si>
  <si>
    <r>
      <rPr>
        <sz val="11"/>
        <color indexed="8"/>
        <rFont val="仿宋_GB2312"/>
        <family val="3"/>
        <charset val="134"/>
      </rPr>
      <t>进深比</t>
    </r>
    <phoneticPr fontId="8" type="noConversion"/>
  </si>
  <si>
    <r>
      <rPr>
        <b/>
        <sz val="16"/>
        <rFont val="仿宋_GB2312"/>
        <family val="3"/>
        <charset val="134"/>
      </rPr>
      <t>办公</t>
    </r>
    <phoneticPr fontId="31" type="noConversion"/>
  </si>
  <si>
    <r>
      <rPr>
        <sz val="11"/>
        <color indexed="8"/>
        <rFont val="仿宋_GB2312"/>
        <family val="3"/>
        <charset val="134"/>
      </rPr>
      <t>环境质量</t>
    </r>
    <phoneticPr fontId="32" type="noConversion"/>
  </si>
  <si>
    <r>
      <rPr>
        <sz val="11"/>
        <color indexed="8"/>
        <rFont val="仿宋_GB2312"/>
        <family val="3"/>
        <charset val="134"/>
      </rPr>
      <t>朝向</t>
    </r>
    <phoneticPr fontId="31" type="noConversion"/>
  </si>
  <si>
    <r>
      <rPr>
        <sz val="11"/>
        <color indexed="8"/>
        <rFont val="仿宋_GB2312"/>
        <family val="3"/>
        <charset val="134"/>
      </rPr>
      <t>建筑类型</t>
    </r>
    <phoneticPr fontId="31" type="noConversion"/>
  </si>
  <si>
    <r>
      <rPr>
        <sz val="11"/>
        <color indexed="8"/>
        <rFont val="仿宋_GB2312"/>
        <family val="3"/>
        <charset val="134"/>
      </rPr>
      <t>写字楼等级</t>
    </r>
    <phoneticPr fontId="31" type="noConversion"/>
  </si>
  <si>
    <r>
      <rPr>
        <sz val="11"/>
        <color indexed="8"/>
        <rFont val="仿宋_GB2312"/>
        <family val="3"/>
        <charset val="134"/>
      </rPr>
      <t>物业管理</t>
    </r>
    <phoneticPr fontId="31" type="noConversion"/>
  </si>
  <si>
    <r>
      <rPr>
        <sz val="11"/>
        <rFont val="仿宋_GB2312"/>
        <family val="3"/>
        <charset val="134"/>
      </rPr>
      <t>单套建筑面积</t>
    </r>
    <phoneticPr fontId="8" type="noConversion"/>
  </si>
  <si>
    <r>
      <rPr>
        <sz val="11"/>
        <color indexed="8"/>
        <rFont val="仿宋_GB2312"/>
        <family val="3"/>
        <charset val="134"/>
      </rPr>
      <t>环境质量</t>
    </r>
    <phoneticPr fontId="8" type="noConversion"/>
  </si>
  <si>
    <r>
      <rPr>
        <sz val="11"/>
        <color indexed="8"/>
        <rFont val="仿宋_GB2312"/>
        <family val="3"/>
        <charset val="134"/>
      </rPr>
      <t>毗邻道路的类型与等级</t>
    </r>
    <phoneticPr fontId="8" type="noConversion"/>
  </si>
  <si>
    <r>
      <rPr>
        <sz val="11"/>
        <color indexed="8"/>
        <rFont val="仿宋_GB2312"/>
        <family val="3"/>
        <charset val="134"/>
      </rPr>
      <t>写字楼等级</t>
    </r>
    <phoneticPr fontId="8" type="noConversion"/>
  </si>
  <si>
    <r>
      <rPr>
        <sz val="11"/>
        <rFont val="仿宋_GB2312"/>
        <family val="3"/>
        <charset val="134"/>
      </rPr>
      <t>层高</t>
    </r>
    <phoneticPr fontId="8" type="noConversion"/>
  </si>
  <si>
    <r>
      <rPr>
        <b/>
        <sz val="16"/>
        <rFont val="仿宋_GB2312"/>
        <family val="3"/>
        <charset val="134"/>
      </rPr>
      <t>工业</t>
    </r>
    <phoneticPr fontId="8" type="noConversion"/>
  </si>
  <si>
    <r>
      <rPr>
        <sz val="11"/>
        <color indexed="8"/>
        <rFont val="仿宋_GB2312"/>
        <family val="3"/>
        <charset val="134"/>
      </rPr>
      <t>产业集聚程度</t>
    </r>
    <phoneticPr fontId="31" type="noConversion"/>
  </si>
  <si>
    <r>
      <rPr>
        <sz val="11"/>
        <color indexed="8"/>
        <rFont val="仿宋_GB2312"/>
        <family val="3"/>
        <charset val="134"/>
      </rPr>
      <t>内部装修状况</t>
    </r>
    <phoneticPr fontId="31" type="noConversion"/>
  </si>
  <si>
    <r>
      <rPr>
        <sz val="11"/>
        <rFont val="仿宋_GB2312"/>
        <family val="3"/>
        <charset val="134"/>
      </rPr>
      <t>内部装修维护状况</t>
    </r>
    <phoneticPr fontId="8" type="noConversion"/>
  </si>
  <si>
    <r>
      <rPr>
        <b/>
        <sz val="16"/>
        <rFont val="仿宋_GB2312"/>
        <family val="3"/>
        <charset val="134"/>
      </rPr>
      <t>─</t>
    </r>
    <phoneticPr fontId="26"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</si>
  <si>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6" type="noConversion"/>
  </si>
  <si>
    <r>
      <rPr>
        <b/>
        <sz val="12"/>
        <rFont val="仿宋_GB2312"/>
        <family val="3"/>
        <charset val="134"/>
      </rPr>
      <t>总价</t>
    </r>
    <phoneticPr fontId="20" type="noConversion"/>
  </si>
  <si>
    <r>
      <rPr>
        <b/>
        <sz val="12"/>
        <rFont val="仿宋_GB2312"/>
        <family val="3"/>
        <charset val="134"/>
      </rPr>
      <t>楼面单价</t>
    </r>
    <phoneticPr fontId="20" type="noConversion"/>
  </si>
  <si>
    <r>
      <rPr>
        <b/>
        <sz val="12"/>
        <rFont val="仿宋_GB2312"/>
        <family val="3"/>
        <charset val="134"/>
      </rPr>
      <t>建筑面积</t>
    </r>
    <phoneticPr fontId="26" type="noConversion"/>
  </si>
  <si>
    <r>
      <rPr>
        <b/>
        <sz val="11"/>
        <rFont val="仿宋_GB2312"/>
        <family val="3"/>
        <charset val="134"/>
      </rPr>
      <t>比较因素</t>
    </r>
    <phoneticPr fontId="8" type="noConversion"/>
  </si>
  <si>
    <r>
      <rPr>
        <sz val="11"/>
        <rFont val="仿宋_GB2312"/>
        <family val="3"/>
        <charset val="134"/>
      </rPr>
      <t>估价对象</t>
    </r>
    <phoneticPr fontId="8" type="noConversion"/>
  </si>
  <si>
    <r>
      <rPr>
        <sz val="11"/>
        <rFont val="仿宋_GB2312"/>
        <family val="3"/>
        <charset val="134"/>
      </rPr>
      <t>案例</t>
    </r>
    <r>
      <rPr>
        <sz val="11"/>
        <rFont val="Arial"/>
        <family val="2"/>
      </rPr>
      <t>A</t>
    </r>
    <phoneticPr fontId="8" type="noConversion"/>
  </si>
  <si>
    <r>
      <rPr>
        <sz val="11"/>
        <rFont val="仿宋_GB2312"/>
        <family val="3"/>
        <charset val="134"/>
      </rPr>
      <t>案例</t>
    </r>
    <r>
      <rPr>
        <sz val="11"/>
        <rFont val="Arial"/>
        <family val="2"/>
      </rPr>
      <t>B</t>
    </r>
    <phoneticPr fontId="8" type="noConversion"/>
  </si>
  <si>
    <r>
      <rPr>
        <sz val="11"/>
        <rFont val="仿宋_GB2312"/>
        <family val="3"/>
        <charset val="134"/>
      </rPr>
      <t>案例</t>
    </r>
    <r>
      <rPr>
        <sz val="11"/>
        <rFont val="Arial"/>
        <family val="2"/>
      </rPr>
      <t>C</t>
    </r>
    <phoneticPr fontId="8" type="noConversion"/>
  </si>
  <si>
    <r>
      <rPr>
        <sz val="11"/>
        <color indexed="8"/>
        <rFont val="仿宋_GB2312"/>
        <family val="3"/>
        <charset val="134"/>
      </rPr>
      <t>修正幅度</t>
    </r>
    <phoneticPr fontId="8" type="noConversion"/>
  </si>
  <si>
    <r>
      <rPr>
        <sz val="11"/>
        <rFont val="仿宋_GB2312"/>
        <family val="3"/>
        <charset val="134"/>
      </rPr>
      <t>比较因素</t>
    </r>
    <phoneticPr fontId="8" type="noConversion"/>
  </si>
  <si>
    <r>
      <rPr>
        <sz val="11"/>
        <color indexed="8"/>
        <rFont val="仿宋_GB2312"/>
        <family val="3"/>
        <charset val="134"/>
      </rPr>
      <t>自然及人文环境</t>
    </r>
    <phoneticPr fontId="32" type="noConversion"/>
  </si>
  <si>
    <r>
      <rPr>
        <sz val="11"/>
        <color indexed="8"/>
        <rFont val="仿宋_GB2312"/>
        <family val="3"/>
        <charset val="134"/>
      </rPr>
      <t>楼层</t>
    </r>
    <phoneticPr fontId="32" type="noConversion"/>
  </si>
  <si>
    <r>
      <rPr>
        <sz val="11"/>
        <color indexed="8"/>
        <rFont val="仿宋_GB2312"/>
        <family val="3"/>
        <charset val="134"/>
      </rPr>
      <t>配套类型</t>
    </r>
    <phoneticPr fontId="31" type="noConversion"/>
  </si>
  <si>
    <r>
      <rPr>
        <sz val="11"/>
        <color indexed="8"/>
        <rFont val="仿宋_GB2312"/>
        <family val="3"/>
        <charset val="134"/>
      </rPr>
      <t>项目停车位配比</t>
    </r>
    <phoneticPr fontId="32" type="noConversion"/>
  </si>
  <si>
    <r>
      <rPr>
        <sz val="11"/>
        <color indexed="8"/>
        <rFont val="仿宋_GB2312"/>
        <family val="3"/>
        <charset val="134"/>
      </rPr>
      <t>公共部分装修</t>
    </r>
    <phoneticPr fontId="32" type="noConversion"/>
  </si>
  <si>
    <r>
      <rPr>
        <sz val="11"/>
        <color indexed="8"/>
        <rFont val="仿宋_GB2312"/>
        <family val="3"/>
        <charset val="134"/>
      </rPr>
      <t>成新率</t>
    </r>
    <phoneticPr fontId="31" type="noConversion"/>
  </si>
  <si>
    <r>
      <rPr>
        <sz val="11"/>
        <color indexed="8"/>
        <rFont val="仿宋_GB2312"/>
        <family val="3"/>
        <charset val="134"/>
      </rPr>
      <t>物业等级</t>
    </r>
    <phoneticPr fontId="31" type="noConversion"/>
  </si>
  <si>
    <r>
      <rPr>
        <sz val="11"/>
        <color indexed="8"/>
        <rFont val="仿宋_GB2312"/>
        <family val="3"/>
        <charset val="134"/>
      </rPr>
      <t>停车位面积</t>
    </r>
    <phoneticPr fontId="31" type="noConversion"/>
  </si>
  <si>
    <r>
      <rPr>
        <sz val="11"/>
        <color indexed="8"/>
        <rFont val="仿宋_GB2312"/>
        <family val="3"/>
        <charset val="134"/>
      </rPr>
      <t>车位类型</t>
    </r>
    <phoneticPr fontId="31" type="noConversion"/>
  </si>
  <si>
    <r>
      <rPr>
        <sz val="11"/>
        <color indexed="8"/>
        <rFont val="仿宋_GB2312"/>
        <family val="3"/>
        <charset val="134"/>
      </rPr>
      <t>是否直接入户</t>
    </r>
    <phoneticPr fontId="31" type="noConversion"/>
  </si>
  <si>
    <r>
      <rPr>
        <sz val="11"/>
        <color indexed="8"/>
        <rFont val="仿宋_GB2312"/>
        <family val="3"/>
        <charset val="134"/>
      </rPr>
      <t>配套类型（地上主用途）</t>
    </r>
    <phoneticPr fontId="8" type="noConversion"/>
  </si>
  <si>
    <r>
      <rPr>
        <sz val="11"/>
        <color indexed="8"/>
        <rFont val="仿宋_GB2312"/>
        <family val="3"/>
        <charset val="134"/>
      </rPr>
      <t>项目停车位配比</t>
    </r>
    <phoneticPr fontId="8" type="noConversion"/>
  </si>
  <si>
    <r>
      <rPr>
        <sz val="11"/>
        <color indexed="8"/>
        <rFont val="仿宋_GB2312"/>
        <family val="3"/>
        <charset val="134"/>
      </rPr>
      <t>成新率</t>
    </r>
    <phoneticPr fontId="8" type="noConversion"/>
  </si>
  <si>
    <r>
      <rPr>
        <sz val="11"/>
        <color indexed="8"/>
        <rFont val="仿宋_GB2312"/>
        <family val="3"/>
        <charset val="134"/>
      </rPr>
      <t>物业等级</t>
    </r>
    <phoneticPr fontId="32" type="noConversion"/>
  </si>
  <si>
    <r>
      <rPr>
        <sz val="11"/>
        <color indexed="8"/>
        <rFont val="仿宋_GB2312"/>
        <family val="3"/>
        <charset val="134"/>
      </rPr>
      <t>停车位面积</t>
    </r>
    <phoneticPr fontId="8" type="noConversion"/>
  </si>
  <si>
    <r>
      <rPr>
        <sz val="11"/>
        <color indexed="8"/>
        <rFont val="仿宋_GB2312"/>
        <family val="3"/>
        <charset val="134"/>
      </rPr>
      <t>车位类型</t>
    </r>
    <phoneticPr fontId="8" type="noConversion"/>
  </si>
  <si>
    <r>
      <rPr>
        <sz val="11"/>
        <color indexed="8"/>
        <rFont val="仿宋_GB2312"/>
        <family val="3"/>
        <charset val="134"/>
      </rPr>
      <t>是否直接入户</t>
    </r>
    <phoneticPr fontId="8" type="noConversion"/>
  </si>
  <si>
    <r>
      <rPr>
        <sz val="11"/>
        <rFont val="仿宋_GB2312"/>
        <family val="3"/>
        <charset val="134"/>
      </rPr>
      <t>实物状况</t>
    </r>
    <phoneticPr fontId="8" type="noConversion"/>
  </si>
  <si>
    <r>
      <rPr>
        <sz val="11"/>
        <color indexed="8"/>
        <rFont val="仿宋_GB2312"/>
        <family val="3"/>
        <charset val="134"/>
      </rPr>
      <t>有无电梯</t>
    </r>
    <phoneticPr fontId="31" type="noConversion"/>
  </si>
  <si>
    <r>
      <rPr>
        <sz val="11"/>
        <color indexed="8"/>
        <rFont val="仿宋_GB2312"/>
        <family val="3"/>
        <charset val="134"/>
      </rPr>
      <t>建筑面积</t>
    </r>
    <phoneticPr fontId="31" type="noConversion"/>
  </si>
  <si>
    <r>
      <rPr>
        <sz val="11"/>
        <color indexed="8"/>
        <rFont val="仿宋_GB2312"/>
        <family val="3"/>
        <charset val="134"/>
      </rPr>
      <t>是否封闭</t>
    </r>
    <phoneticPr fontId="31" type="noConversion"/>
  </si>
  <si>
    <r>
      <rPr>
        <sz val="11"/>
        <color indexed="8"/>
        <rFont val="仿宋_GB2312"/>
        <family val="3"/>
        <charset val="134"/>
      </rPr>
      <t>有无电梯</t>
    </r>
    <phoneticPr fontId="8" type="noConversion"/>
  </si>
  <si>
    <r>
      <rPr>
        <sz val="11"/>
        <color indexed="8"/>
        <rFont val="仿宋_GB2312"/>
        <family val="3"/>
        <charset val="134"/>
      </rPr>
      <t>建筑面积</t>
    </r>
    <phoneticPr fontId="32" type="noConversion"/>
  </si>
  <si>
    <r>
      <rPr>
        <sz val="11"/>
        <color indexed="8"/>
        <rFont val="仿宋_GB2312"/>
        <family val="3"/>
        <charset val="134"/>
      </rPr>
      <t>是否封闭</t>
    </r>
    <phoneticPr fontId="8" type="noConversion"/>
  </si>
  <si>
    <r>
      <rPr>
        <b/>
        <sz val="12"/>
        <color indexed="8"/>
        <rFont val="仿宋_GB2312"/>
        <family val="3"/>
        <charset val="134"/>
      </rPr>
      <t>总价</t>
    </r>
    <phoneticPr fontId="26" type="noConversion"/>
  </si>
  <si>
    <r>
      <rPr>
        <b/>
        <sz val="12"/>
        <color indexed="8"/>
        <rFont val="仿宋_GB2312"/>
        <family val="3"/>
        <charset val="134"/>
      </rPr>
      <t>楼面单价</t>
    </r>
    <phoneticPr fontId="26" type="noConversion"/>
  </si>
  <si>
    <r>
      <rPr>
        <b/>
        <sz val="10"/>
        <color indexed="8"/>
        <rFont val="仿宋_GB2312"/>
        <family val="3"/>
        <charset val="134"/>
      </rPr>
      <t>合计</t>
    </r>
    <phoneticPr fontId="26"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</si>
  <si>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6" type="noConversion"/>
  </si>
  <si>
    <r>
      <rPr>
        <sz val="10"/>
        <color indexed="8"/>
        <rFont val="仿宋_GB2312"/>
        <family val="3"/>
        <charset val="134"/>
      </rPr>
      <t>建筑面积</t>
    </r>
    <phoneticPr fontId="26" type="noConversion"/>
  </si>
  <si>
    <r>
      <rPr>
        <sz val="10"/>
        <color indexed="8"/>
        <rFont val="仿宋_GB2312"/>
        <family val="3"/>
        <charset val="134"/>
      </rPr>
      <t>修正系数</t>
    </r>
    <phoneticPr fontId="26" type="noConversion"/>
  </si>
  <si>
    <r>
      <rPr>
        <sz val="10"/>
        <color indexed="8"/>
        <rFont val="仿宋_GB2312"/>
        <family val="3"/>
        <charset val="134"/>
      </rPr>
      <t>修正单价</t>
    </r>
    <phoneticPr fontId="26" type="noConversion"/>
  </si>
  <si>
    <r>
      <rPr>
        <sz val="10"/>
        <color indexed="8"/>
        <rFont val="仿宋_GB2312"/>
        <family val="3"/>
        <charset val="134"/>
      </rPr>
      <t>总价</t>
    </r>
    <phoneticPr fontId="26" type="noConversion"/>
  </si>
  <si>
    <r>
      <rPr>
        <b/>
        <sz val="10"/>
        <color indexed="10"/>
        <rFont val="仿宋_GB2312"/>
        <family val="3"/>
        <charset val="134"/>
      </rPr>
      <t>基准户型</t>
    </r>
    <phoneticPr fontId="26" type="noConversion"/>
  </si>
  <si>
    <t>住宅\综合</t>
    <phoneticPr fontId="8" type="noConversion"/>
  </si>
  <si>
    <t>工业</t>
    <phoneticPr fontId="8" type="noConversion"/>
  </si>
  <si>
    <t>不动产-住宅</t>
    <phoneticPr fontId="8" type="noConversion"/>
  </si>
  <si>
    <t>不动产-商业</t>
    <phoneticPr fontId="8" type="noConversion"/>
  </si>
  <si>
    <t>不动产-办公</t>
    <phoneticPr fontId="8" type="noConversion"/>
  </si>
  <si>
    <t>不动产-工业</t>
    <phoneticPr fontId="34" type="noConversion"/>
  </si>
  <si>
    <t>不动产-车位</t>
    <phoneticPr fontId="34" type="noConversion"/>
  </si>
  <si>
    <t>不动产-仓储</t>
    <phoneticPr fontId="34"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</si>
  <si>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4" type="noConversion"/>
  </si>
  <si>
    <t>项目基本情况</t>
    <phoneticPr fontId="8" type="noConversion"/>
  </si>
  <si>
    <t>宗地现状</t>
    <phoneticPr fontId="11" type="noConversion"/>
  </si>
  <si>
    <t>闲置情况</t>
    <phoneticPr fontId="11" type="noConversion"/>
  </si>
  <si>
    <t>约定的动工日期</t>
    <phoneticPr fontId="11" type="noConversion"/>
  </si>
  <si>
    <t>超过约定</t>
    <phoneticPr fontId="11" type="noConversion"/>
  </si>
  <si>
    <t>年</t>
    <phoneticPr fontId="11"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</si>
  <si>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8"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</si>
  <si>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8"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</si>
  <si>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8" type="noConversion"/>
  </si>
  <si>
    <t>人防</t>
    <phoneticPr fontId="128" type="noConversion"/>
  </si>
  <si>
    <t>用途类型</t>
    <phoneticPr fontId="19" type="noConversion"/>
  </si>
  <si>
    <r>
      <rPr>
        <b/>
        <sz val="11"/>
        <color indexed="8"/>
        <rFont val="楷体_GB2312"/>
        <family val="3"/>
        <charset val="134"/>
      </rPr>
      <t>容积率</t>
    </r>
    <phoneticPr fontId="128" type="noConversion"/>
  </si>
  <si>
    <r>
      <rPr>
        <sz val="11"/>
        <color indexed="8"/>
        <rFont val="楷体_GB2312"/>
        <family val="3"/>
        <charset val="134"/>
      </rPr>
      <t>项目</t>
    </r>
    <phoneticPr fontId="128" type="noConversion"/>
  </si>
  <si>
    <r>
      <rPr>
        <sz val="11"/>
        <color indexed="8"/>
        <rFont val="楷体_GB2312"/>
        <family val="3"/>
        <charset val="134"/>
      </rPr>
      <t>总</t>
    </r>
    <phoneticPr fontId="128" type="noConversion"/>
  </si>
  <si>
    <r>
      <rPr>
        <sz val="11"/>
        <color indexed="8"/>
        <rFont val="楷体_GB2312"/>
        <family val="3"/>
        <charset val="134"/>
      </rPr>
      <t>地上</t>
    </r>
    <phoneticPr fontId="128" type="noConversion"/>
  </si>
  <si>
    <r>
      <rPr>
        <sz val="11"/>
        <color indexed="8"/>
        <rFont val="楷体_GB2312"/>
        <family val="3"/>
        <charset val="134"/>
      </rPr>
      <t>估价对象</t>
    </r>
    <phoneticPr fontId="128"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</si>
  <si>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8"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</si>
  <si>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8" type="noConversion"/>
  </si>
  <si>
    <r>
      <rPr>
        <b/>
        <sz val="11"/>
        <color indexed="8"/>
        <rFont val="楷体_GB2312"/>
        <family val="3"/>
        <charset val="134"/>
      </rPr>
      <t>综合取费</t>
    </r>
    <phoneticPr fontId="128" type="noConversion"/>
  </si>
  <si>
    <t>土地使用年期</t>
    <phoneticPr fontId="128" type="noConversion"/>
  </si>
  <si>
    <t>建安费用</t>
    <phoneticPr fontId="128"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</si>
  <si>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8" type="noConversion"/>
  </si>
  <si>
    <r>
      <rPr>
        <sz val="11"/>
        <color indexed="8"/>
        <rFont val="楷体_GB2312"/>
        <family val="3"/>
        <charset val="134"/>
      </rPr>
      <t>租期外</t>
    </r>
    <phoneticPr fontId="128" type="noConversion"/>
  </si>
  <si>
    <r>
      <rPr>
        <sz val="11"/>
        <color indexed="8"/>
        <rFont val="楷体_GB2312"/>
        <family val="3"/>
        <charset val="134"/>
      </rPr>
      <t>收益期</t>
    </r>
    <phoneticPr fontId="128" type="noConversion"/>
  </si>
  <si>
    <t>收益年期(总)</t>
    <phoneticPr fontId="8" type="noConversion"/>
  </si>
  <si>
    <r>
      <rPr>
        <sz val="11"/>
        <color indexed="8"/>
        <rFont val="楷体_GB2312"/>
        <family val="3"/>
        <charset val="134"/>
      </rPr>
      <t>非住宅项目及用公共配套计算实为</t>
    </r>
    <r>
      <rPr>
        <sz val="11"/>
        <color indexed="8"/>
        <rFont val="Arial"/>
        <family val="2"/>
      </rPr>
      <t>0</t>
    </r>
    <phoneticPr fontId="8" type="noConversion"/>
  </si>
  <si>
    <t>红色字体</t>
    <phoneticPr fontId="34" type="noConversion"/>
  </si>
  <si>
    <r>
      <rPr>
        <b/>
        <sz val="14"/>
        <color indexed="10"/>
        <rFont val="仿宋_GB2312"/>
        <family val="3"/>
        <charset val="134"/>
      </rPr>
      <t>最终结果</t>
    </r>
    <phoneticPr fontId="14" type="noConversion"/>
  </si>
  <si>
    <t>五等判定</t>
    <phoneticPr fontId="8"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</si>
  <si>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</si>
  <si>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</si>
  <si>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</si>
  <si>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</si>
  <si>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</si>
  <si>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</si>
  <si>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</si>
  <si>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30" type="noConversion"/>
  </si>
  <si>
    <t>容积率</t>
    <phoneticPr fontId="130" type="noConversion"/>
  </si>
  <si>
    <t>一级</t>
    <phoneticPr fontId="130" type="noConversion"/>
  </si>
  <si>
    <t>二级</t>
    <phoneticPr fontId="130" type="noConversion"/>
  </si>
  <si>
    <t>三级</t>
    <phoneticPr fontId="130" type="noConversion"/>
  </si>
  <si>
    <t>四级</t>
    <phoneticPr fontId="130" type="noConversion"/>
  </si>
  <si>
    <t>五级</t>
    <phoneticPr fontId="130" type="noConversion"/>
  </si>
  <si>
    <t>六级</t>
    <phoneticPr fontId="130" type="noConversion"/>
  </si>
  <si>
    <t>七级</t>
    <phoneticPr fontId="130" type="noConversion"/>
  </si>
  <si>
    <t>八级</t>
    <phoneticPr fontId="130" type="noConversion"/>
  </si>
  <si>
    <t>九级</t>
    <phoneticPr fontId="130" type="noConversion"/>
  </si>
  <si>
    <t>十级</t>
    <phoneticPr fontId="130" type="noConversion"/>
  </si>
  <si>
    <t>十一级</t>
    <phoneticPr fontId="130" type="noConversion"/>
  </si>
  <si>
    <t>十二级</t>
    <phoneticPr fontId="130" type="noConversion"/>
  </si>
  <si>
    <r>
      <rPr>
        <sz val="10"/>
        <rFont val="楷体_GB2312"/>
        <family val="3"/>
        <charset val="134"/>
      </rPr>
      <t>宗地容积率</t>
    </r>
    <r>
      <rPr>
        <sz val="10"/>
        <rFont val="Arial"/>
        <family val="2"/>
      </rPr>
      <t>R</t>
    </r>
    <phoneticPr fontId="130" type="noConversion"/>
  </si>
  <si>
    <r>
      <rPr>
        <sz val="10"/>
        <rFont val="楷体_GB2312"/>
        <family val="3"/>
        <charset val="134"/>
      </rPr>
      <t>修正系数</t>
    </r>
    <phoneticPr fontId="130" type="noConversion"/>
  </si>
  <si>
    <t>用途</t>
    <phoneticPr fontId="130" type="noConversion"/>
  </si>
  <si>
    <t>土地级别</t>
    <phoneticPr fontId="130" type="noConversion"/>
  </si>
  <si>
    <r>
      <rPr>
        <sz val="10"/>
        <rFont val="楷体_GB2312"/>
        <family val="3"/>
        <charset val="134"/>
      </rPr>
      <t>商业</t>
    </r>
    <phoneticPr fontId="130" type="noConversion"/>
  </si>
  <si>
    <r>
      <rPr>
        <sz val="10"/>
        <rFont val="楷体_GB2312"/>
        <family val="3"/>
        <charset val="134"/>
      </rPr>
      <t>办公</t>
    </r>
    <phoneticPr fontId="130" type="noConversion"/>
  </si>
  <si>
    <t>住宅</t>
    <phoneticPr fontId="130" type="noConversion"/>
  </si>
  <si>
    <r>
      <rPr>
        <sz val="10"/>
        <rFont val="楷体_GB2312"/>
        <family val="3"/>
        <charset val="134"/>
      </rPr>
      <t>工业</t>
    </r>
    <phoneticPr fontId="130" type="noConversion"/>
  </si>
  <si>
    <t>北京市基准地价容积率修正系数表（办公）</t>
    <phoneticPr fontId="130" type="noConversion"/>
  </si>
  <si>
    <t>北京市基准地价容积率修正系数表（居住）</t>
    <phoneticPr fontId="130" type="noConversion"/>
  </si>
  <si>
    <t>容积率</t>
    <phoneticPr fontId="130" type="noConversion"/>
  </si>
  <si>
    <t>一级</t>
    <phoneticPr fontId="130" type="noConversion"/>
  </si>
  <si>
    <t>二级</t>
    <phoneticPr fontId="130" type="noConversion"/>
  </si>
  <si>
    <t>三级</t>
    <phoneticPr fontId="130" type="noConversion"/>
  </si>
  <si>
    <t>四级</t>
    <phoneticPr fontId="130" type="noConversion"/>
  </si>
  <si>
    <t>五级</t>
    <phoneticPr fontId="130" type="noConversion"/>
  </si>
  <si>
    <t>六级</t>
    <phoneticPr fontId="130" type="noConversion"/>
  </si>
  <si>
    <t>七级</t>
    <phoneticPr fontId="130" type="noConversion"/>
  </si>
  <si>
    <t>八级</t>
    <phoneticPr fontId="130" type="noConversion"/>
  </si>
  <si>
    <t>九级</t>
    <phoneticPr fontId="130" type="noConversion"/>
  </si>
  <si>
    <t>十级</t>
    <phoneticPr fontId="130" type="noConversion"/>
  </si>
  <si>
    <t>十一级</t>
    <phoneticPr fontId="130" type="noConversion"/>
  </si>
  <si>
    <t>十二级</t>
    <phoneticPr fontId="130" type="noConversion"/>
  </si>
  <si>
    <t>北京市基准地价容积率修正系数表（工业）</t>
    <phoneticPr fontId="130" type="noConversion"/>
  </si>
  <si>
    <t>总价</t>
    <phoneticPr fontId="130" type="noConversion"/>
  </si>
  <si>
    <t>万元</t>
    <phoneticPr fontId="130" type="noConversion"/>
  </si>
  <si>
    <t>用途</t>
    <phoneticPr fontId="130" type="noConversion"/>
  </si>
  <si>
    <t>住宅</t>
  </si>
  <si>
    <t>土地级别</t>
    <phoneticPr fontId="130" type="noConversion"/>
  </si>
  <si>
    <t>四级</t>
  </si>
  <si>
    <t>区片编号</t>
    <phoneticPr fontId="130" type="noConversion"/>
  </si>
  <si>
    <t>元/平方米</t>
    <phoneticPr fontId="130" type="noConversion"/>
  </si>
  <si>
    <t>用途类别</t>
    <phoneticPr fontId="130" type="noConversion"/>
  </si>
  <si>
    <t>楼层</t>
    <phoneticPr fontId="130" type="noConversion"/>
  </si>
  <si>
    <t>（地上）</t>
    <phoneticPr fontId="130" type="noConversion"/>
  </si>
  <si>
    <t>适用的楼面熟地价</t>
    <phoneticPr fontId="130" type="noConversion"/>
  </si>
  <si>
    <t>商业路线价修正（商业用途）</t>
    <phoneticPr fontId="130" type="noConversion"/>
  </si>
  <si>
    <t>宗地深度（米）</t>
    <phoneticPr fontId="130" type="noConversion"/>
  </si>
  <si>
    <t>所在商业街</t>
    <phoneticPr fontId="130" type="noConversion"/>
  </si>
  <si>
    <t>A1</t>
    <phoneticPr fontId="130" type="noConversion"/>
  </si>
  <si>
    <t>临商业街红线1/4标准深度占地面积／宗地总面积</t>
    <phoneticPr fontId="130" type="noConversion"/>
  </si>
  <si>
    <t>加价幅度</t>
    <phoneticPr fontId="130" type="noConversion"/>
  </si>
  <si>
    <t>A2</t>
  </si>
  <si>
    <t>临商业街红线1/4至2/4标准深度占地面积／宗地总面积</t>
    <phoneticPr fontId="130" type="noConversion"/>
  </si>
  <si>
    <t>标准深度（米）</t>
    <phoneticPr fontId="130" type="noConversion"/>
  </si>
  <si>
    <t>A3</t>
  </si>
  <si>
    <t>临商业街红线2/4至3/4标准深度占地面积／宗地总面积</t>
    <phoneticPr fontId="130" type="noConversion"/>
  </si>
  <si>
    <t>1/4标准深度</t>
    <phoneticPr fontId="130" type="noConversion"/>
  </si>
  <si>
    <t>A4</t>
  </si>
  <si>
    <t>临商业街红线3/4至4/4标准深度占地面积／宗地总面积</t>
    <phoneticPr fontId="130" type="noConversion"/>
  </si>
  <si>
    <t>特殊情况修正（居住用途）</t>
    <phoneticPr fontId="130" type="noConversion"/>
  </si>
  <si>
    <t>需根据项目情况调整公式修正项</t>
    <phoneticPr fontId="130" type="noConversion"/>
  </si>
  <si>
    <t>轨道交通站点周边</t>
    <phoneticPr fontId="130" type="noConversion"/>
  </si>
  <si>
    <t>其他（垃圾填埋场/污水处理厂等），自定义，修正幅度不超过±10%</t>
    <phoneticPr fontId="130" type="noConversion"/>
  </si>
  <si>
    <t>开发程度差异修正</t>
    <phoneticPr fontId="130" type="noConversion"/>
  </si>
  <si>
    <t>估价对象开发程度</t>
    <phoneticPr fontId="130" type="noConversion"/>
  </si>
  <si>
    <t>——</t>
  </si>
  <si>
    <t>级别平均容积率</t>
    <phoneticPr fontId="130" type="noConversion"/>
  </si>
  <si>
    <t>级别开发程度</t>
    <phoneticPr fontId="130" type="noConversion"/>
  </si>
  <si>
    <t>用途修正系数</t>
    <phoneticPr fontId="130" type="noConversion"/>
  </si>
  <si>
    <t>期日修正指数</t>
    <phoneticPr fontId="130" type="noConversion"/>
  </si>
  <si>
    <t>基准期日</t>
    <phoneticPr fontId="130" type="noConversion"/>
  </si>
  <si>
    <t>估价期日</t>
    <phoneticPr fontId="130" type="noConversion"/>
  </si>
  <si>
    <t>2016-2</t>
  </si>
  <si>
    <t>2014-1</t>
  </si>
  <si>
    <t>2014-2</t>
  </si>
  <si>
    <t>2014-3</t>
  </si>
  <si>
    <t>2014-4</t>
  </si>
  <si>
    <t>2015-1</t>
  </si>
  <si>
    <t>2015-2</t>
  </si>
  <si>
    <t>2015-3</t>
  </si>
  <si>
    <t>2015-4</t>
  </si>
  <si>
    <t>2016-1</t>
  </si>
  <si>
    <t>2016-3</t>
  </si>
  <si>
    <t>2016-4</t>
  </si>
  <si>
    <t>年期修正系数</t>
    <phoneticPr fontId="130" type="noConversion"/>
  </si>
  <si>
    <t>现行一年期贷款利率</t>
    <phoneticPr fontId="130" type="noConversion"/>
  </si>
  <si>
    <t>土地还原率</t>
    <phoneticPr fontId="130" type="noConversion"/>
  </si>
  <si>
    <t>剩余使用年限</t>
    <phoneticPr fontId="130" type="noConversion"/>
  </si>
  <si>
    <t>商业</t>
    <phoneticPr fontId="130" type="noConversion"/>
  </si>
  <si>
    <t>容积率修正系数</t>
    <phoneticPr fontId="130" type="noConversion"/>
  </si>
  <si>
    <t>R&gt;10</t>
    <phoneticPr fontId="130" type="noConversion"/>
  </si>
  <si>
    <t>办公</t>
    <phoneticPr fontId="130" type="noConversion"/>
  </si>
  <si>
    <t>楼层修正系数（商业）</t>
    <phoneticPr fontId="130" type="noConversion"/>
  </si>
  <si>
    <t>因素修正系数</t>
    <phoneticPr fontId="130" type="noConversion"/>
  </si>
  <si>
    <t>工业</t>
  </si>
  <si>
    <t>估算结果</t>
    <phoneticPr fontId="130" type="noConversion"/>
  </si>
  <si>
    <t>商业</t>
    <phoneticPr fontId="130" type="noConversion"/>
  </si>
  <si>
    <t>办公</t>
    <phoneticPr fontId="130" type="noConversion"/>
  </si>
  <si>
    <t>工业</t>
    <phoneticPr fontId="130" type="noConversion"/>
  </si>
  <si>
    <t>熟地价</t>
    <phoneticPr fontId="130" type="noConversion"/>
  </si>
  <si>
    <t>上浮比率</t>
    <phoneticPr fontId="130" type="noConversion"/>
  </si>
  <si>
    <t>政府土地出让收益</t>
    <phoneticPr fontId="130" type="noConversion"/>
  </si>
  <si>
    <t>地上部分</t>
    <phoneticPr fontId="130" type="noConversion"/>
  </si>
  <si>
    <t>单价</t>
    <phoneticPr fontId="130" type="noConversion"/>
  </si>
  <si>
    <t>建筑面积</t>
    <phoneticPr fontId="130" type="noConversion"/>
  </si>
  <si>
    <t>总额</t>
    <phoneticPr fontId="130" type="noConversion"/>
  </si>
  <si>
    <t>地上部分——楼面熟地价</t>
    <phoneticPr fontId="130" type="noConversion"/>
  </si>
  <si>
    <t>地上部分——政府土地出让收益</t>
    <phoneticPr fontId="130" type="noConversion"/>
  </si>
  <si>
    <t>政府土地出让收益=楼面熟地价×政府土地出让收益比例</t>
    <phoneticPr fontId="130" type="noConversion"/>
  </si>
  <si>
    <t>地下部分</t>
    <phoneticPr fontId="130" type="noConversion"/>
  </si>
  <si>
    <t>楼面熟地价=适用的基准地价×期日修正系数×年期修正系数×因素修正系数×相应用途地下空间修正系数</t>
    <phoneticPr fontId="130" type="noConversion"/>
  </si>
  <si>
    <t>相应用途地下空间修正系数</t>
  </si>
  <si>
    <t>地下第1层商业</t>
    <phoneticPr fontId="130" type="noConversion"/>
  </si>
  <si>
    <t>地下第2层商业</t>
    <phoneticPr fontId="130" type="noConversion"/>
  </si>
  <si>
    <t>地下第3层商业</t>
    <phoneticPr fontId="130" type="noConversion"/>
  </si>
  <si>
    <t>地下第4层商业</t>
    <phoneticPr fontId="130" type="noConversion"/>
  </si>
  <si>
    <t>地下办公</t>
    <phoneticPr fontId="130" type="noConversion"/>
  </si>
  <si>
    <t>地下仓储</t>
    <phoneticPr fontId="130" type="noConversion"/>
  </si>
  <si>
    <t>地下车库</t>
    <phoneticPr fontId="130" type="noConversion"/>
  </si>
  <si>
    <t>结果不可超过《北京市区片基准地价因素总修正幅度表》所列修正幅度；依据估价对象用途调整链接</t>
    <phoneticPr fontId="130" type="noConversion"/>
  </si>
  <si>
    <t>商业</t>
    <phoneticPr fontId="130" type="noConversion"/>
  </si>
  <si>
    <t>影响因素</t>
    <phoneticPr fontId="130" type="noConversion"/>
  </si>
  <si>
    <t>情况说明</t>
    <phoneticPr fontId="130" type="noConversion"/>
  </si>
  <si>
    <t>等级</t>
    <phoneticPr fontId="130" type="noConversion"/>
  </si>
  <si>
    <r>
      <rPr>
        <sz val="10"/>
        <color indexed="8"/>
        <rFont val="楷体_GB2312"/>
        <family val="3"/>
        <charset val="134"/>
      </rPr>
      <t>修正幅度</t>
    </r>
    <phoneticPr fontId="130" type="noConversion"/>
  </si>
  <si>
    <r>
      <rPr>
        <sz val="10"/>
        <color indexed="8"/>
        <rFont val="楷体_GB2312"/>
        <family val="3"/>
        <charset val="134"/>
      </rPr>
      <t>权重</t>
    </r>
    <phoneticPr fontId="130" type="noConversion"/>
  </si>
  <si>
    <r>
      <rPr>
        <sz val="10"/>
        <rFont val="楷体_GB2312"/>
        <family val="3"/>
        <charset val="134"/>
      </rPr>
      <t>合计</t>
    </r>
    <phoneticPr fontId="130" type="noConversion"/>
  </si>
  <si>
    <r>
      <rPr>
        <sz val="10"/>
        <color indexed="8"/>
        <rFont val="宋体"/>
        <family val="3"/>
        <charset val="134"/>
      </rPr>
      <t>修正系数</t>
    </r>
    <phoneticPr fontId="130" type="noConversion"/>
  </si>
  <si>
    <r>
      <rPr>
        <sz val="11"/>
        <color indexed="8"/>
        <rFont val="楷体_GB2312"/>
        <family val="3"/>
        <charset val="134"/>
      </rPr>
      <t>好</t>
    </r>
    <phoneticPr fontId="130" type="noConversion"/>
  </si>
  <si>
    <r>
      <rPr>
        <sz val="11"/>
        <color indexed="8"/>
        <rFont val="楷体_GB2312"/>
        <family val="3"/>
        <charset val="134"/>
      </rPr>
      <t>较好</t>
    </r>
    <phoneticPr fontId="130" type="noConversion"/>
  </si>
  <si>
    <r>
      <rPr>
        <sz val="11"/>
        <color indexed="8"/>
        <rFont val="楷体_GB2312"/>
        <family val="3"/>
        <charset val="134"/>
      </rPr>
      <t>一般</t>
    </r>
    <phoneticPr fontId="130" type="noConversion"/>
  </si>
  <si>
    <r>
      <rPr>
        <sz val="11"/>
        <color indexed="8"/>
        <rFont val="楷体_GB2312"/>
        <family val="3"/>
        <charset val="134"/>
      </rPr>
      <t>较差</t>
    </r>
    <phoneticPr fontId="130" type="noConversion"/>
  </si>
  <si>
    <r>
      <rPr>
        <sz val="11"/>
        <color indexed="8"/>
        <rFont val="楷体_GB2312"/>
        <family val="3"/>
        <charset val="134"/>
      </rPr>
      <t>差</t>
    </r>
    <phoneticPr fontId="130" type="noConversion"/>
  </si>
  <si>
    <t xml:space="preserve"> 商业繁华程度</t>
    <phoneticPr fontId="130" type="noConversion"/>
  </si>
  <si>
    <t>交通便捷度</t>
    <phoneticPr fontId="130" type="noConversion"/>
  </si>
  <si>
    <t>区域土地利用方向</t>
    <phoneticPr fontId="130" type="noConversion"/>
  </si>
  <si>
    <t>临街宽度和深度</t>
    <phoneticPr fontId="130" type="noConversion"/>
  </si>
  <si>
    <t>临街道路状况</t>
    <phoneticPr fontId="130" type="noConversion"/>
  </si>
  <si>
    <t>宗地形状及可利用程度</t>
    <phoneticPr fontId="130" type="noConversion"/>
  </si>
  <si>
    <t>公共服务设施状况</t>
    <phoneticPr fontId="130" type="noConversion"/>
  </si>
  <si>
    <t>基础设施完备状况</t>
    <phoneticPr fontId="130" type="noConversion"/>
  </si>
  <si>
    <t>自然和人文环境状况</t>
    <phoneticPr fontId="130" type="noConversion"/>
  </si>
  <si>
    <t>办公</t>
    <phoneticPr fontId="130" type="noConversion"/>
  </si>
  <si>
    <t>办公集聚程度</t>
    <phoneticPr fontId="130" type="noConversion"/>
  </si>
  <si>
    <t>住宅</t>
    <phoneticPr fontId="130" type="noConversion"/>
  </si>
  <si>
    <t>居住社区成熟度</t>
    <phoneticPr fontId="130" type="noConversion"/>
  </si>
  <si>
    <t>交通便捷度</t>
    <phoneticPr fontId="130" type="noConversion"/>
  </si>
  <si>
    <t>临路状况</t>
    <phoneticPr fontId="130" type="noConversion"/>
  </si>
  <si>
    <t>与区域中心的接近程度</t>
    <phoneticPr fontId="130" type="noConversion"/>
  </si>
  <si>
    <t>工业</t>
    <phoneticPr fontId="130" type="noConversion"/>
  </si>
  <si>
    <t>产业集聚程度</t>
    <phoneticPr fontId="130" type="noConversion"/>
  </si>
  <si>
    <t>环境状况</t>
    <phoneticPr fontId="130" type="noConversion"/>
  </si>
  <si>
    <t>北京市区片基准地价表</t>
    <phoneticPr fontId="130" type="noConversion"/>
  </si>
  <si>
    <t>一级</t>
    <phoneticPr fontId="130" type="noConversion"/>
  </si>
  <si>
    <t>二级</t>
    <phoneticPr fontId="130" type="noConversion"/>
  </si>
  <si>
    <t>三级</t>
    <phoneticPr fontId="130" type="noConversion"/>
  </si>
  <si>
    <t>四级</t>
    <phoneticPr fontId="130" type="noConversion"/>
  </si>
  <si>
    <t>五级</t>
    <phoneticPr fontId="130" type="noConversion"/>
  </si>
  <si>
    <t>六级</t>
    <phoneticPr fontId="130" type="noConversion"/>
  </si>
  <si>
    <t>七级</t>
    <phoneticPr fontId="130" type="noConversion"/>
  </si>
  <si>
    <t>八级</t>
    <phoneticPr fontId="130" type="noConversion"/>
  </si>
  <si>
    <t>九级</t>
    <phoneticPr fontId="130" type="noConversion"/>
  </si>
  <si>
    <t>十级</t>
    <phoneticPr fontId="130" type="noConversion"/>
  </si>
  <si>
    <t>十一级</t>
    <phoneticPr fontId="130" type="noConversion"/>
  </si>
  <si>
    <t>十二级</t>
    <phoneticPr fontId="130" type="noConversion"/>
  </si>
  <si>
    <t>基准日期：2014年1月1日                                                    单位：元/建筑平方米</t>
    <phoneticPr fontId="130" type="noConversion"/>
  </si>
  <si>
    <t>Ⅰ—01</t>
    <phoneticPr fontId="130" type="noConversion"/>
  </si>
  <si>
    <t>Ⅱ—01</t>
    <phoneticPr fontId="130" type="noConversion"/>
  </si>
  <si>
    <t>Ⅲ—01</t>
    <phoneticPr fontId="130" type="noConversion"/>
  </si>
  <si>
    <t>Ⅳ-01</t>
    <phoneticPr fontId="130" type="noConversion"/>
  </si>
  <si>
    <t>Ⅴ-01</t>
    <phoneticPr fontId="130" type="noConversion"/>
  </si>
  <si>
    <t>Ⅵ-01</t>
    <phoneticPr fontId="130" type="noConversion"/>
  </si>
  <si>
    <t>Ⅶ-01</t>
    <phoneticPr fontId="130" type="noConversion"/>
  </si>
  <si>
    <t>Ⅷ-01</t>
    <phoneticPr fontId="130" type="noConversion"/>
  </si>
  <si>
    <t>Ⅸ-01</t>
    <phoneticPr fontId="130" type="noConversion"/>
  </si>
  <si>
    <t>Ⅹ-01</t>
    <phoneticPr fontId="130" type="noConversion"/>
  </si>
  <si>
    <t>Ⅺ-门1</t>
    <phoneticPr fontId="130" type="noConversion"/>
  </si>
  <si>
    <t>Ⅻ-门1</t>
    <phoneticPr fontId="130" type="noConversion"/>
  </si>
  <si>
    <t>级别</t>
    <phoneticPr fontId="130" type="noConversion"/>
  </si>
  <si>
    <t>商业</t>
    <phoneticPr fontId="130" type="noConversion"/>
  </si>
  <si>
    <t>办公</t>
    <phoneticPr fontId="130" type="noConversion"/>
  </si>
  <si>
    <t>住宅</t>
    <phoneticPr fontId="130" type="noConversion"/>
  </si>
  <si>
    <t>工业</t>
    <phoneticPr fontId="130" type="noConversion"/>
  </si>
  <si>
    <t>Ⅰ—02</t>
    <phoneticPr fontId="130" type="noConversion"/>
  </si>
  <si>
    <t>Ⅱ—02</t>
  </si>
  <si>
    <t>Ⅲ—02</t>
  </si>
  <si>
    <t>Ⅳ-02</t>
  </si>
  <si>
    <t>Ⅴ-02</t>
  </si>
  <si>
    <t>Ⅵ-02</t>
  </si>
  <si>
    <t>Ⅶ-02</t>
  </si>
  <si>
    <t>Ⅷ-02</t>
  </si>
  <si>
    <t>Ⅸ-02</t>
  </si>
  <si>
    <t>Ⅹ-02</t>
  </si>
  <si>
    <t>Ⅺ-门斋</t>
    <phoneticPr fontId="130" type="noConversion"/>
  </si>
  <si>
    <t>Ⅻ-房1</t>
    <phoneticPr fontId="130" type="noConversion"/>
  </si>
  <si>
    <t>区片编号</t>
    <phoneticPr fontId="130" type="noConversion"/>
  </si>
  <si>
    <t>区片价格</t>
    <phoneticPr fontId="130" type="noConversion"/>
  </si>
  <si>
    <t>Ⅰ—03</t>
  </si>
  <si>
    <t>Ⅱ—03</t>
  </si>
  <si>
    <t>Ⅲ—03</t>
  </si>
  <si>
    <t>Ⅳ-03</t>
  </si>
  <si>
    <t>Ⅴ-03</t>
  </si>
  <si>
    <t>Ⅵ-03</t>
  </si>
  <si>
    <t>Ⅶ-03</t>
  </si>
  <si>
    <t>Ⅷ-03</t>
  </si>
  <si>
    <t>Ⅸ-门1</t>
    <phoneticPr fontId="130" type="noConversion"/>
  </si>
  <si>
    <t>Ⅹ-门1</t>
    <phoneticPr fontId="130" type="noConversion"/>
  </si>
  <si>
    <t>Ⅺ-房1</t>
    <phoneticPr fontId="130" type="noConversion"/>
  </si>
  <si>
    <t>Ⅻ-昌1</t>
    <phoneticPr fontId="130" type="noConversion"/>
  </si>
  <si>
    <t>一级</t>
  </si>
  <si>
    <t>Ⅰ—04</t>
  </si>
  <si>
    <t>Ⅱ—04</t>
  </si>
  <si>
    <t>Ⅲ—04</t>
  </si>
  <si>
    <t>Ⅳ-04</t>
  </si>
  <si>
    <t>Ⅴ-04</t>
  </si>
  <si>
    <t>Ⅵ-04</t>
  </si>
  <si>
    <t>Ⅶ-04</t>
  </si>
  <si>
    <t>Ⅷ-04</t>
  </si>
  <si>
    <t>Ⅸ-门2</t>
    <phoneticPr fontId="130" type="noConversion"/>
  </si>
  <si>
    <t>Ⅹ-房1</t>
    <phoneticPr fontId="130" type="noConversion"/>
  </si>
  <si>
    <t>Ⅺ-房2</t>
  </si>
  <si>
    <t>Ⅻ-平1</t>
    <phoneticPr fontId="130" type="noConversion"/>
  </si>
  <si>
    <t>Ⅰ—02</t>
    <phoneticPr fontId="130" type="noConversion"/>
  </si>
  <si>
    <t>二级</t>
    <phoneticPr fontId="130" type="noConversion"/>
  </si>
  <si>
    <t>Ⅰ—05</t>
  </si>
  <si>
    <t>Ⅱ—05</t>
  </si>
  <si>
    <t>Ⅲ—05</t>
  </si>
  <si>
    <t>Ⅳ-05</t>
  </si>
  <si>
    <t>Ⅴ-05</t>
  </si>
  <si>
    <t>Ⅵ-05</t>
  </si>
  <si>
    <t>Ⅶ-05</t>
  </si>
  <si>
    <t>Ⅷ-门1</t>
    <phoneticPr fontId="130" type="noConversion"/>
  </si>
  <si>
    <t>Ⅸ-门潭</t>
    <phoneticPr fontId="130" type="noConversion"/>
  </si>
  <si>
    <t>Ⅹ-房2</t>
  </si>
  <si>
    <t>Ⅺ-通1</t>
    <phoneticPr fontId="130" type="noConversion"/>
  </si>
  <si>
    <t>Ⅻ-怀1</t>
    <phoneticPr fontId="130" type="noConversion"/>
  </si>
  <si>
    <t>Ⅱ—06</t>
  </si>
  <si>
    <t>Ⅲ—06</t>
  </si>
  <si>
    <t>Ⅳ-06</t>
  </si>
  <si>
    <t>Ⅴ-06</t>
  </si>
  <si>
    <t>Ⅵ-06</t>
  </si>
  <si>
    <t>Ⅶ-06</t>
  </si>
  <si>
    <t>Ⅷ-门军</t>
    <phoneticPr fontId="130" type="noConversion"/>
  </si>
  <si>
    <t>Ⅸ-房1</t>
    <phoneticPr fontId="130" type="noConversion"/>
  </si>
  <si>
    <t>Ⅹ-通1</t>
    <phoneticPr fontId="130" type="noConversion"/>
  </si>
  <si>
    <t>Ⅺ-顺1</t>
    <phoneticPr fontId="130" type="noConversion"/>
  </si>
  <si>
    <t>Ⅻ-密1</t>
    <phoneticPr fontId="130" type="noConversion"/>
  </si>
  <si>
    <t>Ⅱ—07</t>
  </si>
  <si>
    <t>Ⅲ—07</t>
  </si>
  <si>
    <t>Ⅳ-07</t>
  </si>
  <si>
    <t>Ⅴ-07</t>
  </si>
  <si>
    <t>Ⅵ-07</t>
  </si>
  <si>
    <t>Ⅶ-07</t>
  </si>
  <si>
    <t>Ⅷ-房1</t>
    <phoneticPr fontId="130" type="noConversion"/>
  </si>
  <si>
    <t>Ⅸ-房2</t>
  </si>
  <si>
    <t>Ⅹ-顺1</t>
    <phoneticPr fontId="130" type="noConversion"/>
  </si>
  <si>
    <t>Ⅺ-兴1</t>
    <phoneticPr fontId="130" type="noConversion"/>
  </si>
  <si>
    <t>Ⅻ-延1</t>
    <phoneticPr fontId="130" type="noConversion"/>
  </si>
  <si>
    <t>Ⅱ—08</t>
  </si>
  <si>
    <t>Ⅲ—08</t>
  </si>
  <si>
    <t>Ⅳ-08</t>
  </si>
  <si>
    <t>Ⅴ-08</t>
  </si>
  <si>
    <t>Ⅵ-08</t>
  </si>
  <si>
    <t>Ⅶ-08</t>
  </si>
  <si>
    <t>Ⅷ-房2</t>
  </si>
  <si>
    <t>Ⅸ-房3</t>
  </si>
  <si>
    <t>Ⅹ-顺2</t>
  </si>
  <si>
    <t>Ⅺ-兴2</t>
    <phoneticPr fontId="130" type="noConversion"/>
  </si>
  <si>
    <t>二级</t>
  </si>
  <si>
    <t>Ⅱ—01</t>
    <phoneticPr fontId="130" type="noConversion"/>
  </si>
  <si>
    <t>Ⅱ—09</t>
  </si>
  <si>
    <t>Ⅲ—09</t>
  </si>
  <si>
    <t>Ⅳ-09</t>
  </si>
  <si>
    <t>Ⅴ-09</t>
  </si>
  <si>
    <t>Ⅵ-09</t>
  </si>
  <si>
    <t>Ⅶ-09</t>
  </si>
  <si>
    <t>Ⅷ-房3</t>
  </si>
  <si>
    <t>Ⅸ-房4</t>
  </si>
  <si>
    <t>Ⅹ-顺3</t>
  </si>
  <si>
    <t>Ⅺ-昌1</t>
    <phoneticPr fontId="130" type="noConversion"/>
  </si>
  <si>
    <t>Ⅱ—10</t>
  </si>
  <si>
    <t>Ⅲ—10</t>
  </si>
  <si>
    <t>Ⅳ-10</t>
  </si>
  <si>
    <t>Ⅴ-10</t>
  </si>
  <si>
    <t>Ⅵ-10</t>
  </si>
  <si>
    <t>Ⅶ-10</t>
  </si>
  <si>
    <t>Ⅷ-通1</t>
    <phoneticPr fontId="130" type="noConversion"/>
  </si>
  <si>
    <t>Ⅸ-房5</t>
  </si>
  <si>
    <t>Ⅹ-兴1</t>
    <phoneticPr fontId="130" type="noConversion"/>
  </si>
  <si>
    <t>Ⅺ-昌2</t>
  </si>
  <si>
    <t>Ⅱ—11</t>
  </si>
  <si>
    <t>Ⅲ—11</t>
  </si>
  <si>
    <t>Ⅳ-11</t>
  </si>
  <si>
    <t>Ⅴ-11</t>
  </si>
  <si>
    <t>Ⅵ-11</t>
  </si>
  <si>
    <t>Ⅶ-11</t>
  </si>
  <si>
    <t>Ⅷ-通2</t>
  </si>
  <si>
    <t>Ⅸ-房6</t>
  </si>
  <si>
    <t>Ⅹ-兴2</t>
  </si>
  <si>
    <t>Ⅺ-平1</t>
    <phoneticPr fontId="130" type="noConversion"/>
  </si>
  <si>
    <t>Ⅱ—12</t>
  </si>
  <si>
    <t>Ⅲ—12</t>
  </si>
  <si>
    <t>Ⅳ-12</t>
  </si>
  <si>
    <t>Ⅴ-12</t>
  </si>
  <si>
    <t>Ⅵ-12</t>
  </si>
  <si>
    <t>Ⅶ-12</t>
  </si>
  <si>
    <t>Ⅷ-通3</t>
  </si>
  <si>
    <t>Ⅸ-通1</t>
    <phoneticPr fontId="130" type="noConversion"/>
  </si>
  <si>
    <t>Ⅹ-昌1</t>
    <phoneticPr fontId="130" type="noConversion"/>
  </si>
  <si>
    <t>Ⅺ-平2</t>
  </si>
  <si>
    <t>Ⅱ—13</t>
  </si>
  <si>
    <t>Ⅲ—13</t>
  </si>
  <si>
    <t>Ⅳ-13</t>
  </si>
  <si>
    <t>Ⅴ-13</t>
  </si>
  <si>
    <t>Ⅵ-13</t>
  </si>
  <si>
    <t>Ⅶ-13</t>
  </si>
  <si>
    <t>Ⅷ-顺1</t>
    <phoneticPr fontId="130" type="noConversion"/>
  </si>
  <si>
    <t>Ⅸ-通2</t>
  </si>
  <si>
    <t>Ⅹ-昌2</t>
  </si>
  <si>
    <t>Ⅺ-平3</t>
  </si>
  <si>
    <t>Ⅱ—14</t>
  </si>
  <si>
    <t>Ⅲ—14</t>
  </si>
  <si>
    <t>Ⅳ-14</t>
  </si>
  <si>
    <t>Ⅴ-14</t>
  </si>
  <si>
    <t>Ⅵ-14</t>
  </si>
  <si>
    <t>Ⅶ-门1</t>
    <phoneticPr fontId="130" type="noConversion"/>
  </si>
  <si>
    <t>Ⅷ-顺2</t>
  </si>
  <si>
    <t>Ⅸ-通3</t>
  </si>
  <si>
    <t>Ⅹ-昌3</t>
  </si>
  <si>
    <t>Ⅺ-平4</t>
  </si>
  <si>
    <t>Ⅱ—15</t>
  </si>
  <si>
    <t>Ⅲ—15</t>
  </si>
  <si>
    <t>Ⅳ-15</t>
  </si>
  <si>
    <t>Ⅴ-15</t>
  </si>
  <si>
    <t>Ⅵ-15</t>
  </si>
  <si>
    <t>Ⅶ-房1</t>
    <phoneticPr fontId="130" type="noConversion"/>
  </si>
  <si>
    <t>Ⅷ-顺3</t>
    <phoneticPr fontId="130" type="noConversion"/>
  </si>
  <si>
    <t>Ⅸ-顺1</t>
    <phoneticPr fontId="130" type="noConversion"/>
  </si>
  <si>
    <t>Ⅹ-平1</t>
    <phoneticPr fontId="130" type="noConversion"/>
  </si>
  <si>
    <t>Ⅺ-怀1</t>
    <phoneticPr fontId="130" type="noConversion"/>
  </si>
  <si>
    <t>Ⅱ—16</t>
  </si>
  <si>
    <t>Ⅲ—16</t>
  </si>
  <si>
    <t>Ⅳ-16</t>
  </si>
  <si>
    <t>Ⅴ-16</t>
  </si>
  <si>
    <t>Ⅵ-16</t>
  </si>
  <si>
    <t>Ⅶ-房2</t>
  </si>
  <si>
    <t>Ⅷ-顺4</t>
  </si>
  <si>
    <t>Ⅸ-顺2</t>
  </si>
  <si>
    <t>Ⅹ-平2</t>
  </si>
  <si>
    <t>Ⅺ-怀2</t>
  </si>
  <si>
    <t>Ⅱ—17</t>
  </si>
  <si>
    <t>Ⅲ—17</t>
  </si>
  <si>
    <t>Ⅳ-17</t>
  </si>
  <si>
    <t>Ⅴ-17</t>
  </si>
  <si>
    <t>Ⅵ-17</t>
  </si>
  <si>
    <t>Ⅶ-通1</t>
    <phoneticPr fontId="130" type="noConversion"/>
  </si>
  <si>
    <t>Ⅷ-顺5</t>
  </si>
  <si>
    <t>Ⅸ-顺3</t>
  </si>
  <si>
    <t>Ⅹ-怀1</t>
    <phoneticPr fontId="130" type="noConversion"/>
  </si>
  <si>
    <t>Ⅺ-密1</t>
    <phoneticPr fontId="130" type="noConversion"/>
  </si>
  <si>
    <t>Ⅱ—18</t>
  </si>
  <si>
    <t>Ⅲ—18</t>
  </si>
  <si>
    <t>Ⅳ-18</t>
  </si>
  <si>
    <t>Ⅴ-18</t>
  </si>
  <si>
    <t>Ⅵ-18</t>
  </si>
  <si>
    <t>Ⅶ-顺1</t>
    <phoneticPr fontId="130" type="noConversion"/>
  </si>
  <si>
    <t>Ⅷ-顺6</t>
  </si>
  <si>
    <t>Ⅸ-顺4</t>
  </si>
  <si>
    <t>Ⅹ-怀2</t>
  </si>
  <si>
    <t>Ⅺ-密2</t>
  </si>
  <si>
    <t>Ⅱ—19</t>
  </si>
  <si>
    <t>Ⅲ—19</t>
  </si>
  <si>
    <t>Ⅳ-19</t>
  </si>
  <si>
    <t>Ⅴ-19</t>
  </si>
  <si>
    <t>Ⅵ-19</t>
  </si>
  <si>
    <t>Ⅶ-顺2</t>
  </si>
  <si>
    <t>Ⅷ-顺7</t>
  </si>
  <si>
    <t>Ⅸ-兴1</t>
    <phoneticPr fontId="130" type="noConversion"/>
  </si>
  <si>
    <t>Ⅹ-怀3</t>
  </si>
  <si>
    <t>Ⅺ-密3</t>
  </si>
  <si>
    <t>Ⅲ—20</t>
  </si>
  <si>
    <t>Ⅳ-20</t>
  </si>
  <si>
    <t>Ⅴ-20</t>
  </si>
  <si>
    <t>Ⅵ-20</t>
  </si>
  <si>
    <t>Ⅶ-兴1</t>
    <phoneticPr fontId="130" type="noConversion"/>
  </si>
  <si>
    <t>Ⅷ-兴1</t>
    <phoneticPr fontId="130" type="noConversion"/>
  </si>
  <si>
    <t>Ⅸ-兴2</t>
  </si>
  <si>
    <t>Ⅹ-密1</t>
    <phoneticPr fontId="130" type="noConversion"/>
  </si>
  <si>
    <t>Ⅺ-延1</t>
    <phoneticPr fontId="130" type="noConversion"/>
  </si>
  <si>
    <t>Ⅱ—13</t>
    <phoneticPr fontId="130" type="noConversion"/>
  </si>
  <si>
    <t>Ⅳ-21</t>
  </si>
  <si>
    <t>Ⅴ-21</t>
  </si>
  <si>
    <t>Ⅵ-21</t>
  </si>
  <si>
    <t>Ⅶ-兴2</t>
  </si>
  <si>
    <t>Ⅷ-兴2</t>
  </si>
  <si>
    <t>Ⅸ-兴3</t>
  </si>
  <si>
    <t>Ⅹ-延1</t>
    <phoneticPr fontId="130" type="noConversion"/>
  </si>
  <si>
    <t>Ⅺ-延2</t>
  </si>
  <si>
    <t>Ⅳ-22</t>
  </si>
  <si>
    <t>Ⅴ-22</t>
  </si>
  <si>
    <t>Ⅵ-22</t>
  </si>
  <si>
    <t>Ⅶ-兴3</t>
  </si>
  <si>
    <t>Ⅷ-昌1</t>
    <phoneticPr fontId="130" type="noConversion"/>
  </si>
  <si>
    <t>Ⅸ-兴4</t>
  </si>
  <si>
    <t>Ⅹ-延2</t>
  </si>
  <si>
    <t>Ⅳ-23</t>
  </si>
  <si>
    <t>Ⅴ-23</t>
  </si>
  <si>
    <t>Ⅵ-23</t>
  </si>
  <si>
    <t>Ⅶ-昌1</t>
    <phoneticPr fontId="130" type="noConversion"/>
  </si>
  <si>
    <t>Ⅷ-昌2</t>
  </si>
  <si>
    <t>Ⅸ-兴5</t>
  </si>
  <si>
    <t>Ⅹ-亦1</t>
    <phoneticPr fontId="130" type="noConversion"/>
  </si>
  <si>
    <t>Ⅳ-电子城东</t>
    <phoneticPr fontId="130" type="noConversion"/>
  </si>
  <si>
    <t>Ⅴ-24</t>
  </si>
  <si>
    <t>Ⅵ-24</t>
  </si>
  <si>
    <t>Ⅶ-昌2</t>
  </si>
  <si>
    <t>Ⅷ-昌3</t>
  </si>
  <si>
    <t>Ⅸ-昌1</t>
    <phoneticPr fontId="130" type="noConversion"/>
  </si>
  <si>
    <t>Ⅹ-马坊工业园</t>
    <phoneticPr fontId="130" type="noConversion"/>
  </si>
  <si>
    <t>Ⅳ-电子城西</t>
    <phoneticPr fontId="130" type="noConversion"/>
  </si>
  <si>
    <t>Ⅴ-25</t>
  </si>
  <si>
    <t>Ⅵ-通1</t>
    <phoneticPr fontId="130" type="noConversion"/>
  </si>
  <si>
    <t>Ⅶ-昌3</t>
  </si>
  <si>
    <t>Ⅷ-昌4</t>
  </si>
  <si>
    <t>Ⅸ-昌2</t>
  </si>
  <si>
    <t>Ⅹ-延庆开发区</t>
    <phoneticPr fontId="130" type="noConversion"/>
  </si>
  <si>
    <t>Ⅳ-上地核心</t>
    <phoneticPr fontId="130" type="noConversion"/>
  </si>
  <si>
    <t>Ⅴ-26</t>
  </si>
  <si>
    <t>Ⅵ-通2</t>
  </si>
  <si>
    <t>Ⅶ-昌4</t>
  </si>
  <si>
    <t>Ⅷ-平1</t>
    <phoneticPr fontId="130" type="noConversion"/>
  </si>
  <si>
    <t>Ⅸ-昌3</t>
  </si>
  <si>
    <t>Ⅹ-八达岭开发区</t>
    <phoneticPr fontId="130" type="noConversion"/>
  </si>
  <si>
    <t>Ⅳ-丰台园东</t>
    <phoneticPr fontId="130" type="noConversion"/>
  </si>
  <si>
    <t>Ⅴ-电子城北</t>
    <phoneticPr fontId="130" type="noConversion"/>
  </si>
  <si>
    <t>Ⅵ-通3</t>
  </si>
  <si>
    <t>Ⅶ-昌5</t>
  </si>
  <si>
    <t>Ⅷ-怀1</t>
    <phoneticPr fontId="130" type="noConversion"/>
  </si>
  <si>
    <t>Ⅸ-昌4</t>
  </si>
  <si>
    <t>三级</t>
  </si>
  <si>
    <t>Ⅲ—01</t>
    <phoneticPr fontId="130" type="noConversion"/>
  </si>
  <si>
    <t>Ⅴ-永丰产业基地</t>
    <phoneticPr fontId="130" type="noConversion"/>
  </si>
  <si>
    <t>Ⅵ-通4</t>
  </si>
  <si>
    <t>Ⅶ-亦1</t>
    <phoneticPr fontId="130" type="noConversion"/>
  </si>
  <si>
    <t>Ⅷ-密1</t>
    <phoneticPr fontId="130" type="noConversion"/>
  </si>
  <si>
    <t>Ⅸ-昌5</t>
  </si>
  <si>
    <t>Ⅴ-航天城</t>
    <phoneticPr fontId="130" type="noConversion"/>
  </si>
  <si>
    <t>Ⅵ-顺1</t>
    <phoneticPr fontId="130" type="noConversion"/>
  </si>
  <si>
    <t>Ⅶ-国际教育园</t>
    <phoneticPr fontId="130" type="noConversion"/>
  </si>
  <si>
    <t>Ⅸ-昌南</t>
    <phoneticPr fontId="130" type="noConversion"/>
  </si>
  <si>
    <r>
      <t>Ⅴ-西北旺</t>
    </r>
    <r>
      <rPr>
        <sz val="10"/>
        <color indexed="8"/>
        <rFont val="宋体"/>
        <family val="3"/>
        <charset val="134"/>
      </rPr>
      <t>Ⅰ</t>
    </r>
    <phoneticPr fontId="130" type="noConversion"/>
  </si>
  <si>
    <t>Ⅵ-兴1</t>
    <phoneticPr fontId="130" type="noConversion"/>
  </si>
  <si>
    <t>Ⅶ-农林园</t>
    <phoneticPr fontId="130" type="noConversion"/>
  </si>
  <si>
    <t>Ⅷ-亦1</t>
    <phoneticPr fontId="130" type="noConversion"/>
  </si>
  <si>
    <t>Ⅸ-平1</t>
    <phoneticPr fontId="130" type="noConversion"/>
  </si>
  <si>
    <r>
      <t>Ⅴ-西北旺</t>
    </r>
    <r>
      <rPr>
        <sz val="10"/>
        <color indexed="8"/>
        <rFont val="宋体"/>
        <family val="3"/>
        <charset val="134"/>
      </rPr>
      <t>Ⅱ</t>
    </r>
    <phoneticPr fontId="130" type="noConversion"/>
  </si>
  <si>
    <t>Ⅵ-昌1</t>
    <phoneticPr fontId="130" type="noConversion"/>
  </si>
  <si>
    <t>Ⅶ-上庄科技</t>
    <phoneticPr fontId="130" type="noConversion"/>
  </si>
  <si>
    <t>Ⅷ-亦2</t>
  </si>
  <si>
    <t>Ⅸ-怀1</t>
    <phoneticPr fontId="130" type="noConversion"/>
  </si>
  <si>
    <t>Ⅴ-石景山园南区</t>
    <phoneticPr fontId="130" type="noConversion"/>
  </si>
  <si>
    <t>Ⅵ-昌2</t>
  </si>
  <si>
    <t>Ⅶ-文化教育基地</t>
    <phoneticPr fontId="130" type="noConversion"/>
  </si>
  <si>
    <t>Ⅷ-良乡开发区A</t>
    <phoneticPr fontId="130" type="noConversion"/>
  </si>
  <si>
    <t>Ⅸ-密1</t>
    <phoneticPr fontId="130" type="noConversion"/>
  </si>
  <si>
    <r>
      <t>Ⅴ-石景山园北</t>
    </r>
    <r>
      <rPr>
        <sz val="10"/>
        <color indexed="8"/>
        <rFont val="宋体"/>
        <family val="3"/>
        <charset val="134"/>
      </rPr>
      <t>Ⅰ</t>
    </r>
    <phoneticPr fontId="130" type="noConversion"/>
  </si>
  <si>
    <t>Ⅵ-昌3</t>
  </si>
  <si>
    <r>
      <t>Ⅶ-苏家坨科技</t>
    </r>
    <r>
      <rPr>
        <sz val="10"/>
        <color indexed="8"/>
        <rFont val="宋体"/>
        <family val="3"/>
        <charset val="134"/>
      </rPr>
      <t>Ⅰ</t>
    </r>
    <phoneticPr fontId="130" type="noConversion"/>
  </si>
  <si>
    <t>Ⅷ-良乡开发区B</t>
    <phoneticPr fontId="130" type="noConversion"/>
  </si>
  <si>
    <t>Ⅸ-延1</t>
    <phoneticPr fontId="130" type="noConversion"/>
  </si>
  <si>
    <r>
      <t>Ⅴ-石景山园北</t>
    </r>
    <r>
      <rPr>
        <sz val="10"/>
        <color indexed="8"/>
        <rFont val="宋体"/>
        <family val="3"/>
        <charset val="134"/>
      </rPr>
      <t>Ⅱ</t>
    </r>
    <phoneticPr fontId="130" type="noConversion"/>
  </si>
  <si>
    <t>Ⅵ-昌4</t>
  </si>
  <si>
    <r>
      <t>Ⅶ-苏家坨科技</t>
    </r>
    <r>
      <rPr>
        <sz val="10"/>
        <color indexed="8"/>
        <rFont val="宋体"/>
        <family val="3"/>
        <charset val="134"/>
      </rPr>
      <t>Ⅱ</t>
    </r>
    <phoneticPr fontId="130" type="noConversion"/>
  </si>
  <si>
    <t>Ⅷ-良乡开发区C</t>
    <phoneticPr fontId="130" type="noConversion"/>
  </si>
  <si>
    <t>Ⅸ-亦1</t>
    <phoneticPr fontId="130" type="noConversion"/>
  </si>
  <si>
    <t>Ⅵ-亦1</t>
    <phoneticPr fontId="130" type="noConversion"/>
  </si>
  <si>
    <r>
      <t>Ⅶ-丰台园西</t>
    </r>
    <r>
      <rPr>
        <sz val="10"/>
        <color indexed="8"/>
        <rFont val="宋体"/>
        <family val="3"/>
        <charset val="134"/>
      </rPr>
      <t>Ⅰ</t>
    </r>
    <phoneticPr fontId="130" type="noConversion"/>
  </si>
  <si>
    <t>Ⅷ-通州环保园</t>
    <phoneticPr fontId="130" type="noConversion"/>
  </si>
  <si>
    <t>Ⅸ-房山工业园东</t>
    <phoneticPr fontId="130" type="noConversion"/>
  </si>
  <si>
    <t>Ⅵ-创新园</t>
    <phoneticPr fontId="130" type="noConversion"/>
  </si>
  <si>
    <r>
      <t>Ⅶ-丰台园西</t>
    </r>
    <r>
      <rPr>
        <sz val="10"/>
        <color indexed="8"/>
        <rFont val="宋体"/>
        <family val="3"/>
        <charset val="134"/>
      </rPr>
      <t>Ⅱ</t>
    </r>
    <phoneticPr fontId="130" type="noConversion"/>
  </si>
  <si>
    <t>Ⅷ-空港北区A</t>
    <phoneticPr fontId="130" type="noConversion"/>
  </si>
  <si>
    <t>Ⅸ-房山工业园西</t>
    <phoneticPr fontId="130" type="noConversion"/>
  </si>
  <si>
    <t>Ⅵ-海淀环保园</t>
    <phoneticPr fontId="130" type="noConversion"/>
  </si>
  <si>
    <t>Ⅶ-石龙开发区</t>
    <phoneticPr fontId="130" type="noConversion"/>
  </si>
  <si>
    <t>Ⅷ-空港北区B</t>
    <phoneticPr fontId="130" type="noConversion"/>
  </si>
  <si>
    <t>Ⅸ-通州开发区东</t>
    <phoneticPr fontId="130" type="noConversion"/>
  </si>
  <si>
    <r>
      <t>Ⅵ-温泉科技</t>
    </r>
    <r>
      <rPr>
        <sz val="10"/>
        <color indexed="8"/>
        <rFont val="宋体"/>
        <family val="3"/>
        <charset val="134"/>
      </rPr>
      <t>Ⅰ</t>
    </r>
    <phoneticPr fontId="130" type="noConversion"/>
  </si>
  <si>
    <t>Ⅶ-光机电</t>
    <phoneticPr fontId="130" type="noConversion"/>
  </si>
  <si>
    <t>Ⅷ-生物医药基地</t>
    <phoneticPr fontId="130" type="noConversion"/>
  </si>
  <si>
    <t>Ⅸ-永乐开发区</t>
    <phoneticPr fontId="130" type="noConversion"/>
  </si>
  <si>
    <r>
      <t>Ⅵ-温泉科技</t>
    </r>
    <r>
      <rPr>
        <sz val="10"/>
        <color indexed="8"/>
        <rFont val="宋体"/>
        <family val="3"/>
        <charset val="134"/>
      </rPr>
      <t>Ⅱ</t>
    </r>
    <phoneticPr fontId="130" type="noConversion"/>
  </si>
  <si>
    <t>Ⅶ-通州开发区西</t>
    <phoneticPr fontId="130" type="noConversion"/>
  </si>
  <si>
    <t>Ⅷ-小汤山工业园</t>
    <phoneticPr fontId="130" type="noConversion"/>
  </si>
  <si>
    <t>Ⅸ-采育开发区</t>
    <phoneticPr fontId="130" type="noConversion"/>
  </si>
  <si>
    <r>
      <t>Ⅵ-温泉科技</t>
    </r>
    <r>
      <rPr>
        <sz val="10"/>
        <color indexed="8"/>
        <rFont val="宋体"/>
        <family val="3"/>
        <charset val="134"/>
      </rPr>
      <t>Ⅲ</t>
    </r>
    <phoneticPr fontId="130" type="noConversion"/>
  </si>
  <si>
    <t>Ⅶ-林河开发区</t>
    <phoneticPr fontId="130" type="noConversion"/>
  </si>
  <si>
    <t>Ⅸ-兴谷开发区A</t>
    <phoneticPr fontId="130" type="noConversion"/>
  </si>
  <si>
    <t>Ⅵ-天竺保税区南</t>
    <phoneticPr fontId="130" type="noConversion"/>
  </si>
  <si>
    <t>Ⅶ-大兴开发区</t>
    <phoneticPr fontId="130" type="noConversion"/>
  </si>
  <si>
    <t>Ⅸ-兴谷开发区B</t>
    <phoneticPr fontId="130" type="noConversion"/>
  </si>
  <si>
    <t>Ⅵ-天竺保税区北1</t>
    <phoneticPr fontId="130" type="noConversion"/>
  </si>
  <si>
    <r>
      <t>Ⅶ-昌平园南</t>
    </r>
    <r>
      <rPr>
        <sz val="10"/>
        <color indexed="8"/>
        <rFont val="宋体"/>
        <family val="3"/>
        <charset val="134"/>
      </rPr>
      <t>Ⅰ</t>
    </r>
    <phoneticPr fontId="130" type="noConversion"/>
  </si>
  <si>
    <t>Ⅸ-雁栖开发区A</t>
    <phoneticPr fontId="130" type="noConversion"/>
  </si>
  <si>
    <t>Ⅵ-天竺保税区北2</t>
  </si>
  <si>
    <r>
      <t>Ⅶ-昌平园南</t>
    </r>
    <r>
      <rPr>
        <sz val="10"/>
        <color indexed="8"/>
        <rFont val="宋体"/>
        <family val="3"/>
        <charset val="134"/>
      </rPr>
      <t>Ⅱ</t>
    </r>
    <phoneticPr fontId="130" type="noConversion"/>
  </si>
  <si>
    <t>Ⅸ-雁栖开发区B</t>
    <phoneticPr fontId="130" type="noConversion"/>
  </si>
  <si>
    <t>Ⅵ-空港A</t>
    <phoneticPr fontId="130" type="noConversion"/>
  </si>
  <si>
    <r>
      <t>Ⅶ-昌平园北</t>
    </r>
    <r>
      <rPr>
        <sz val="10"/>
        <color indexed="8"/>
        <rFont val="宋体"/>
        <family val="3"/>
        <charset val="134"/>
      </rPr>
      <t>Ⅰ</t>
    </r>
    <phoneticPr fontId="130" type="noConversion"/>
  </si>
  <si>
    <t>Ⅸ-雁栖开发区C</t>
    <phoneticPr fontId="130" type="noConversion"/>
  </si>
  <si>
    <t>Ⅵ-空港B</t>
    <phoneticPr fontId="130" type="noConversion"/>
  </si>
  <si>
    <r>
      <t>Ⅶ-昌平园北</t>
    </r>
    <r>
      <rPr>
        <sz val="10"/>
        <color indexed="8"/>
        <rFont val="宋体"/>
        <family val="3"/>
        <charset val="134"/>
      </rPr>
      <t>Ⅱ</t>
    </r>
    <phoneticPr fontId="130" type="noConversion"/>
  </si>
  <si>
    <t>Ⅸ-密云开发区</t>
    <phoneticPr fontId="130" type="noConversion"/>
  </si>
  <si>
    <t>Ⅵ-生命科学园</t>
    <phoneticPr fontId="130" type="noConversion"/>
  </si>
  <si>
    <r>
      <t>Ⅶ-昌平园北</t>
    </r>
    <r>
      <rPr>
        <sz val="10"/>
        <color indexed="8"/>
        <rFont val="宋体"/>
        <family val="3"/>
        <charset val="134"/>
      </rPr>
      <t>Ⅲ</t>
    </r>
    <phoneticPr fontId="130" type="noConversion"/>
  </si>
  <si>
    <t>Ⅵ-昌三一光电</t>
    <phoneticPr fontId="130" type="noConversion"/>
  </si>
  <si>
    <t>Ⅶ-BDA东</t>
    <phoneticPr fontId="130" type="noConversion"/>
  </si>
  <si>
    <t>Ⅳ-01</t>
    <phoneticPr fontId="130" type="noConversion"/>
  </si>
  <si>
    <t>Ⅵ-BDA核心</t>
    <phoneticPr fontId="130" type="noConversion"/>
  </si>
  <si>
    <t>Ⅶ-BDA西</t>
    <phoneticPr fontId="130" type="noConversion"/>
  </si>
  <si>
    <t>五级</t>
  </si>
  <si>
    <t>Ⅴ-01</t>
    <phoneticPr fontId="130" type="noConversion"/>
  </si>
  <si>
    <t>六级</t>
  </si>
  <si>
    <t>Ⅵ-01</t>
    <phoneticPr fontId="130" type="noConversion"/>
  </si>
  <si>
    <t>七级</t>
  </si>
  <si>
    <t>Ⅶ-01</t>
    <phoneticPr fontId="130" type="noConversion"/>
  </si>
  <si>
    <t>八级</t>
  </si>
  <si>
    <t>Ⅷ-01</t>
    <phoneticPr fontId="130" type="noConversion"/>
  </si>
  <si>
    <t>九级</t>
  </si>
  <si>
    <t>Ⅸ-01</t>
    <phoneticPr fontId="130" type="noConversion"/>
  </si>
  <si>
    <t>Ⅸ-门1</t>
    <phoneticPr fontId="130" type="noConversion"/>
  </si>
  <si>
    <t>Ⅸ-门2</t>
    <phoneticPr fontId="130" type="noConversion"/>
  </si>
  <si>
    <t>十级</t>
  </si>
  <si>
    <t>Ⅹ-01</t>
    <phoneticPr fontId="130" type="noConversion"/>
  </si>
  <si>
    <t>Ⅹ-门1</t>
    <phoneticPr fontId="130" type="noConversion"/>
  </si>
  <si>
    <t>Ⅹ-门斋</t>
    <phoneticPr fontId="130" type="noConversion"/>
  </si>
  <si>
    <t>Ⅹ-房1</t>
    <phoneticPr fontId="130" type="noConversion"/>
  </si>
  <si>
    <t>Ⅺ-门1</t>
    <phoneticPr fontId="130" type="noConversion"/>
  </si>
  <si>
    <t>Ⅺ-门斋</t>
    <phoneticPr fontId="130" type="noConversion"/>
  </si>
  <si>
    <t>Ⅺ-房1</t>
    <phoneticPr fontId="130" type="noConversion"/>
  </si>
  <si>
    <t>Ⅻ-门1</t>
    <phoneticPr fontId="130" type="noConversion"/>
  </si>
  <si>
    <t>Ⅻ-房1</t>
    <phoneticPr fontId="130" type="noConversion"/>
  </si>
  <si>
    <t>Ⅻ-昌1</t>
    <phoneticPr fontId="130" type="noConversion"/>
  </si>
  <si>
    <t>Ⅻ-平1</t>
    <phoneticPr fontId="130" type="noConversion"/>
  </si>
  <si>
    <t>土地级别</t>
    <phoneticPr fontId="130" type="noConversion"/>
  </si>
  <si>
    <t>工业</t>
    <phoneticPr fontId="130" type="noConversion"/>
  </si>
  <si>
    <t>通路</t>
    <phoneticPr fontId="130" type="noConversion"/>
  </si>
  <si>
    <t>通电</t>
    <phoneticPr fontId="130" type="noConversion"/>
  </si>
  <si>
    <t>通讯</t>
    <phoneticPr fontId="130" type="noConversion"/>
  </si>
  <si>
    <t>通上水</t>
    <phoneticPr fontId="130" type="noConversion"/>
  </si>
  <si>
    <t>通下水</t>
    <phoneticPr fontId="130" type="noConversion"/>
  </si>
  <si>
    <t>通热</t>
    <phoneticPr fontId="130" type="noConversion"/>
  </si>
  <si>
    <t>燃气</t>
    <phoneticPr fontId="130" type="noConversion"/>
  </si>
  <si>
    <t>平整</t>
    <phoneticPr fontId="130" type="noConversion"/>
  </si>
  <si>
    <t>——</t>
    <phoneticPr fontId="130" type="noConversion"/>
  </si>
  <si>
    <t>北京市基准地价用途修正系数表</t>
    <phoneticPr fontId="130" type="noConversion"/>
  </si>
  <si>
    <t>用途</t>
    <phoneticPr fontId="130" type="noConversion"/>
  </si>
  <si>
    <t>用途类别划分</t>
    <phoneticPr fontId="130" type="noConversion"/>
  </si>
  <si>
    <t>用途修正  系数</t>
    <phoneticPr fontId="130" type="noConversion"/>
  </si>
  <si>
    <t>比准类别</t>
    <phoneticPr fontId="130" type="noConversion"/>
  </si>
  <si>
    <t>批发零售用地</t>
    <phoneticPr fontId="130" type="noConversion"/>
  </si>
  <si>
    <t>（指主要用于商品批发、零售的用地，包括商场、商店、超市、各类批发（零售）市场、加油站等及其附属的小型仓库、车间、工场等）</t>
    <phoneticPr fontId="130" type="noConversion"/>
  </si>
  <si>
    <t>其他类别</t>
    <phoneticPr fontId="130" type="noConversion"/>
  </si>
  <si>
    <t>住宿餐饮用地</t>
    <phoneticPr fontId="130" type="noConversion"/>
  </si>
  <si>
    <t>（指主要用于提供住宿、餐饮服务的用地，包括宾馆、酒店、饭店、旅馆、招待所、度假村、餐厅、酒吧等）</t>
    <phoneticPr fontId="130" type="noConversion"/>
  </si>
  <si>
    <t>商务金融用地（商业类）</t>
    <phoneticPr fontId="130" type="noConversion"/>
  </si>
  <si>
    <t>（指金融、证券、通讯、保险等营业网点用地）</t>
    <phoneticPr fontId="130" type="noConversion"/>
  </si>
  <si>
    <t>其他商服用地</t>
    <phoneticPr fontId="130" type="noConversion"/>
  </si>
  <si>
    <t>（指上述用地以外的其他商业、服务业用地，包括洗车场、洗染店、废旧物资回收站、维修网点、照相馆、理发美容店、洗浴场所、俱乐部、康乐中心、歌舞厅、赛车场、影视基地、影剧院、邮政、电信营业网点等）</t>
    <phoneticPr fontId="130" type="noConversion"/>
  </si>
  <si>
    <t>殡葬用地等特殊用地</t>
    <phoneticPr fontId="130" type="noConversion"/>
  </si>
  <si>
    <t>商务金融用地（办公类）</t>
    <phoneticPr fontId="130" type="noConversion"/>
  </si>
  <si>
    <t>（指企业、服务业等办公用地，以及经营性的办公场所用地，包括写字楼、商业性办公楼和企业厂区外独立的办公楼）</t>
    <phoneticPr fontId="130" type="noConversion"/>
  </si>
  <si>
    <t>其他商服用地（停车场、停车楼等用地）</t>
    <phoneticPr fontId="130" type="noConversion"/>
  </si>
  <si>
    <t>其他商服用地（指展览馆、会展中心等用地）</t>
    <phoneticPr fontId="130" type="noConversion"/>
  </si>
  <si>
    <t>机场航站楼用地</t>
    <phoneticPr fontId="130" type="noConversion"/>
  </si>
  <si>
    <t>科教用地</t>
    <phoneticPr fontId="130" type="noConversion"/>
  </si>
  <si>
    <t>（指用于各类教育，独立的科研、勘测、设计、技术推广、科普等的用地）</t>
    <phoneticPr fontId="130" type="noConversion"/>
  </si>
  <si>
    <t>新闻出版用地</t>
    <phoneticPr fontId="130" type="noConversion"/>
  </si>
  <si>
    <t>（指用于广播电台、电视台、电影厂、报社、杂志社、通讯社、出版社等的用地）、</t>
    <phoneticPr fontId="130" type="noConversion"/>
  </si>
  <si>
    <t>机关团体用地</t>
    <phoneticPr fontId="130" type="noConversion"/>
  </si>
  <si>
    <t>（指用于党政机关、社会团体、群众自治组织等的用地）</t>
    <phoneticPr fontId="130" type="noConversion"/>
  </si>
  <si>
    <t>医卫慈善用地</t>
    <phoneticPr fontId="130" type="noConversion"/>
  </si>
  <si>
    <t>（指用于医疗保健、卫生防疫、急救康复、医检药检、福利救助、养老设施等的用地）</t>
    <phoneticPr fontId="130" type="noConversion"/>
  </si>
  <si>
    <t>文体娱乐用地</t>
    <phoneticPr fontId="130" type="noConversion"/>
  </si>
  <si>
    <t>（指各类文化、体育及公共广场用地）</t>
    <phoneticPr fontId="130" type="noConversion"/>
  </si>
  <si>
    <t>产业用地</t>
    <phoneticPr fontId="130" type="noConversion"/>
  </si>
  <si>
    <t>（指高新技术产业研发与展示中心等产业用地）</t>
    <phoneticPr fontId="130" type="noConversion"/>
  </si>
  <si>
    <t>居住</t>
    <phoneticPr fontId="130" type="noConversion"/>
  </si>
  <si>
    <t>居住用地（指二类居住用地）</t>
    <phoneticPr fontId="130" type="noConversion"/>
  </si>
  <si>
    <t>（指二类居住用地（地上容积率≥１。）</t>
    <phoneticPr fontId="130" type="noConversion"/>
  </si>
  <si>
    <t>居住用地（指一类居住用地）</t>
    <phoneticPr fontId="130" type="noConversion"/>
  </si>
  <si>
    <t>（指一类居住用地（地上容积率＜１。）</t>
    <phoneticPr fontId="130" type="noConversion"/>
  </si>
  <si>
    <t>工业用地</t>
    <phoneticPr fontId="130" type="noConversion"/>
  </si>
  <si>
    <t>（指工业生产及直接为工业生产服务的附属设施用地）</t>
    <phoneticPr fontId="130" type="noConversion"/>
  </si>
  <si>
    <t>采矿用地</t>
    <phoneticPr fontId="130" type="noConversion"/>
  </si>
  <si>
    <t>（指采矿、采石、采砂（沙）场，盐田，砖瓦窑等地面生产设施及尾矿堆放地）</t>
    <phoneticPr fontId="130" type="noConversion"/>
  </si>
  <si>
    <t>仓储用地</t>
    <phoneticPr fontId="130" type="noConversion"/>
  </si>
  <si>
    <t>（指用于物资储备、中转的物流仓储场所等用地）</t>
    <phoneticPr fontId="130" type="noConversion"/>
  </si>
  <si>
    <t>公共设施用地</t>
    <phoneticPr fontId="130" type="noConversion"/>
  </si>
  <si>
    <t>（指用于城乡基础设施的用地，包括给排水、供电、供热、供气、邮政、电信、消防、环卫、公用设施维修等用地。）</t>
    <phoneticPr fontId="130" type="noConversion"/>
  </si>
  <si>
    <t>交通用地</t>
    <phoneticPr fontId="130" type="noConversion"/>
  </si>
  <si>
    <t>（指铁路用地、公路用地、机场用地、管道运输用地等，包括铁路、公路、机场、管道运输的地面线路、站场等用地以及城市道路、车站及其相应附属设施用地）</t>
    <phoneticPr fontId="130" type="noConversion"/>
  </si>
  <si>
    <t>备注：本用途修正系数仅适用于地上部分各类用途的修正，地下空间部分不适用上表中的用途修正，直接使用地下空间修正</t>
    <phoneticPr fontId="130" type="noConversion"/>
  </si>
  <si>
    <t>地下</t>
    <phoneticPr fontId="130" type="noConversion"/>
  </si>
  <si>
    <t>地下仓储</t>
    <phoneticPr fontId="130" type="noConversion"/>
  </si>
  <si>
    <t>车库</t>
    <phoneticPr fontId="130" type="noConversion"/>
  </si>
  <si>
    <t>—</t>
    <phoneticPr fontId="130" type="noConversion"/>
  </si>
  <si>
    <t>北京市商业路线价加价幅度表</t>
    <phoneticPr fontId="130" type="noConversion"/>
  </si>
  <si>
    <t>序号</t>
    <phoneticPr fontId="130" type="noConversion"/>
  </si>
  <si>
    <t>区县</t>
    <phoneticPr fontId="130" type="noConversion"/>
  </si>
  <si>
    <t>商业街名称</t>
    <phoneticPr fontId="130" type="noConversion"/>
  </si>
  <si>
    <t>起止点</t>
    <phoneticPr fontId="130" type="noConversion"/>
  </si>
  <si>
    <t>加价幅度</t>
    <phoneticPr fontId="130" type="noConversion"/>
  </si>
  <si>
    <t>标准深度（m）</t>
    <phoneticPr fontId="130" type="noConversion"/>
  </si>
  <si>
    <t>东城区</t>
    <phoneticPr fontId="130" type="noConversion"/>
  </si>
  <si>
    <t>东长安街</t>
    <phoneticPr fontId="130" type="noConversion"/>
  </si>
  <si>
    <t>天安门——东单</t>
    <phoneticPr fontId="130" type="noConversion"/>
  </si>
  <si>
    <t>建国门内大街</t>
    <phoneticPr fontId="130" type="noConversion"/>
  </si>
  <si>
    <t>建国门——东单</t>
    <phoneticPr fontId="130" type="noConversion"/>
  </si>
  <si>
    <t>王府井商业街</t>
    <phoneticPr fontId="130" type="noConversion"/>
  </si>
  <si>
    <t>东长安街——五四大街</t>
    <phoneticPr fontId="130" type="noConversion"/>
  </si>
  <si>
    <t>东单北大街</t>
    <phoneticPr fontId="130" type="noConversion"/>
  </si>
  <si>
    <t>金鱼胡同——东单路口</t>
    <phoneticPr fontId="130" type="noConversion"/>
  </si>
  <si>
    <t>东四南大街</t>
    <phoneticPr fontId="130" type="noConversion"/>
  </si>
  <si>
    <t>东四路口——金鱼胡同</t>
    <phoneticPr fontId="130" type="noConversion"/>
  </si>
  <si>
    <t>东直门内大街      （簋街）</t>
    <phoneticPr fontId="130" type="noConversion"/>
  </si>
  <si>
    <t>东直门桥——北新桥</t>
    <phoneticPr fontId="130" type="noConversion"/>
  </si>
  <si>
    <t>北京站东街</t>
    <phoneticPr fontId="130" type="noConversion"/>
  </si>
  <si>
    <t>建国门南大街——北京站</t>
    <phoneticPr fontId="130" type="noConversion"/>
  </si>
  <si>
    <t>北京站街</t>
    <phoneticPr fontId="130" type="noConversion"/>
  </si>
  <si>
    <t>建国门内大街——北京站</t>
    <phoneticPr fontId="130" type="noConversion"/>
  </si>
  <si>
    <t>东四十条</t>
    <phoneticPr fontId="130" type="noConversion"/>
  </si>
  <si>
    <t>东四十条桥——东四北大街</t>
    <phoneticPr fontId="130" type="noConversion"/>
  </si>
  <si>
    <t>张自忠路</t>
    <phoneticPr fontId="130" type="noConversion"/>
  </si>
  <si>
    <t>东四北大街——交道口南大街</t>
    <phoneticPr fontId="130" type="noConversion"/>
  </si>
  <si>
    <t>地安门东大街</t>
    <phoneticPr fontId="130" type="noConversion"/>
  </si>
  <si>
    <t>交道口南大街——地安门外大街</t>
    <phoneticPr fontId="130" type="noConversion"/>
  </si>
  <si>
    <t>前门商业街</t>
    <phoneticPr fontId="130" type="noConversion"/>
  </si>
  <si>
    <t>前门箭楼——珠市口</t>
    <phoneticPr fontId="130" type="noConversion"/>
  </si>
  <si>
    <t>崇外商业街</t>
    <phoneticPr fontId="130" type="noConversion"/>
  </si>
  <si>
    <t>崇文门——磁器口</t>
    <phoneticPr fontId="130" type="noConversion"/>
  </si>
  <si>
    <t>广渠门内大街</t>
    <phoneticPr fontId="130" type="noConversion"/>
  </si>
  <si>
    <t>广渠门——磁器口</t>
    <phoneticPr fontId="130" type="noConversion"/>
  </si>
  <si>
    <t>珠市口东大街</t>
    <phoneticPr fontId="130" type="noConversion"/>
  </si>
  <si>
    <t>磁器口——珠市口</t>
    <phoneticPr fontId="130" type="noConversion"/>
  </si>
  <si>
    <t>西城区</t>
    <phoneticPr fontId="130" type="noConversion"/>
  </si>
  <si>
    <t>西长安街</t>
    <phoneticPr fontId="130" type="noConversion"/>
  </si>
  <si>
    <t>天安门——西单</t>
    <phoneticPr fontId="130" type="noConversion"/>
  </si>
  <si>
    <t>复兴门内大街</t>
    <phoneticPr fontId="130" type="noConversion"/>
  </si>
  <si>
    <t>西单——复兴门</t>
    <phoneticPr fontId="130" type="noConversion"/>
  </si>
  <si>
    <t>复兴门外大街</t>
    <phoneticPr fontId="130" type="noConversion"/>
  </si>
  <si>
    <t>复兴门——木樨地</t>
    <phoneticPr fontId="130" type="noConversion"/>
  </si>
  <si>
    <t>西单商业街</t>
    <phoneticPr fontId="130" type="noConversion"/>
  </si>
  <si>
    <t>西单——辟才胡同</t>
    <phoneticPr fontId="130" type="noConversion"/>
  </si>
  <si>
    <t>西四商业街</t>
    <phoneticPr fontId="130" type="noConversion"/>
  </si>
  <si>
    <t>辟才胡同——平安里</t>
    <phoneticPr fontId="130" type="noConversion"/>
  </si>
  <si>
    <t>新街口商业街</t>
    <phoneticPr fontId="130" type="noConversion"/>
  </si>
  <si>
    <t>平安里——积水潭桥</t>
    <phoneticPr fontId="130" type="noConversion"/>
  </si>
  <si>
    <t>双旗杆西街       （福利特商业街）</t>
    <phoneticPr fontId="130" type="noConversion"/>
  </si>
  <si>
    <t>北三环中路——黄寺大街</t>
    <phoneticPr fontId="130" type="noConversion"/>
  </si>
  <si>
    <t>地安门西大街</t>
    <phoneticPr fontId="130" type="noConversion"/>
  </si>
  <si>
    <t>地安门外大街——新街口南大街</t>
    <phoneticPr fontId="130" type="noConversion"/>
  </si>
  <si>
    <t>平安里西大街</t>
    <phoneticPr fontId="130" type="noConversion"/>
  </si>
  <si>
    <t>新街口南大街——车公庄</t>
    <phoneticPr fontId="130" type="noConversion"/>
  </si>
  <si>
    <t>大栅栏商业街</t>
    <phoneticPr fontId="130" type="noConversion"/>
  </si>
  <si>
    <t>前门大街——煤市街</t>
    <phoneticPr fontId="130" type="noConversion"/>
  </si>
  <si>
    <t>珠市口西大街</t>
    <phoneticPr fontId="130" type="noConversion"/>
  </si>
  <si>
    <t>珠市口——南新华街</t>
    <phoneticPr fontId="130" type="noConversion"/>
  </si>
  <si>
    <t>骡马市大街</t>
    <phoneticPr fontId="130" type="noConversion"/>
  </si>
  <si>
    <t>南新华街——菜市口</t>
    <phoneticPr fontId="130" type="noConversion"/>
  </si>
  <si>
    <t>广安门内大街</t>
    <phoneticPr fontId="130" type="noConversion"/>
  </si>
  <si>
    <t>菜市口——广安门桥</t>
    <phoneticPr fontId="130" type="noConversion"/>
  </si>
  <si>
    <t>宣武门外大街</t>
    <phoneticPr fontId="130" type="noConversion"/>
  </si>
  <si>
    <t>宣武门——菜市口</t>
    <phoneticPr fontId="130" type="noConversion"/>
  </si>
  <si>
    <t>菜市口大街</t>
    <phoneticPr fontId="130" type="noConversion"/>
  </si>
  <si>
    <t>菜市口——开阳桥</t>
    <phoneticPr fontId="130" type="noConversion"/>
  </si>
  <si>
    <t>马连道路</t>
    <phoneticPr fontId="130" type="noConversion"/>
  </si>
  <si>
    <t>广安门外大街——红莲南路</t>
    <phoneticPr fontId="130" type="noConversion"/>
  </si>
  <si>
    <t>朝阳区</t>
    <phoneticPr fontId="130" type="noConversion"/>
  </si>
  <si>
    <t>朝外商业街</t>
    <phoneticPr fontId="130" type="noConversion"/>
  </si>
  <si>
    <t>朝阳门——东大桥</t>
    <phoneticPr fontId="130" type="noConversion"/>
  </si>
  <si>
    <t>安立路</t>
    <phoneticPr fontId="130" type="noConversion"/>
  </si>
  <si>
    <t>安慧桥——慧忠北路</t>
    <phoneticPr fontId="130" type="noConversion"/>
  </si>
  <si>
    <t>三里屯路</t>
    <phoneticPr fontId="130" type="noConversion"/>
  </si>
  <si>
    <t>工人体育场北路——东直门外大街</t>
    <phoneticPr fontId="130" type="noConversion"/>
  </si>
  <si>
    <t>秀水街</t>
    <phoneticPr fontId="130" type="noConversion"/>
  </si>
  <si>
    <t>建国门外大街——光华路</t>
    <phoneticPr fontId="130" type="noConversion"/>
  </si>
  <si>
    <t>大羊坊路         （十里河建材商业街）</t>
    <phoneticPr fontId="130" type="noConversion"/>
  </si>
  <si>
    <t>十里河桥——小武基路</t>
    <phoneticPr fontId="130" type="noConversion"/>
  </si>
  <si>
    <t>建国门外大街</t>
    <phoneticPr fontId="130" type="noConversion"/>
  </si>
  <si>
    <t>建国门桥——国贸桥</t>
    <phoneticPr fontId="130" type="noConversion"/>
  </si>
  <si>
    <t>建国路</t>
    <phoneticPr fontId="130" type="noConversion"/>
  </si>
  <si>
    <t>国贸桥——西大望路</t>
    <phoneticPr fontId="130" type="noConversion"/>
  </si>
  <si>
    <t>海淀区</t>
    <phoneticPr fontId="130" type="noConversion"/>
  </si>
  <si>
    <t>中关村大街</t>
    <phoneticPr fontId="130" type="noConversion"/>
  </si>
  <si>
    <t>海淀南路——北四环</t>
    <phoneticPr fontId="130" type="noConversion"/>
  </si>
  <si>
    <t>复兴路</t>
    <phoneticPr fontId="130" type="noConversion"/>
  </si>
  <si>
    <t>木樨地——万寿路</t>
    <phoneticPr fontId="130" type="noConversion"/>
  </si>
  <si>
    <t>海淀中路</t>
    <phoneticPr fontId="130" type="noConversion"/>
  </si>
  <si>
    <t>丰台区</t>
    <phoneticPr fontId="130" type="noConversion"/>
  </si>
  <si>
    <t>蒲芳路、紫芳路    （方庄商业街）</t>
    <phoneticPr fontId="130" type="noConversion"/>
  </si>
  <si>
    <t>蒲黄榆路——方庄东路</t>
    <phoneticPr fontId="130" type="noConversion"/>
  </si>
  <si>
    <t>石景山区</t>
    <phoneticPr fontId="130" type="noConversion"/>
  </si>
  <si>
    <t>石景山路</t>
    <phoneticPr fontId="130" type="noConversion"/>
  </si>
  <si>
    <t>八宝山——八角桥</t>
    <phoneticPr fontId="130" type="noConversion"/>
  </si>
  <si>
    <t>门头沟区</t>
    <phoneticPr fontId="130" type="noConversion"/>
  </si>
  <si>
    <t>新桥大街</t>
    <phoneticPr fontId="130" type="noConversion"/>
  </si>
  <si>
    <t>门头沟路——双峪路</t>
    <phoneticPr fontId="130" type="noConversion"/>
  </si>
  <si>
    <t>房山区</t>
    <phoneticPr fontId="130" type="noConversion"/>
  </si>
  <si>
    <t>南关大街</t>
    <phoneticPr fontId="130" type="noConversion"/>
  </si>
  <si>
    <t>房山东大街——南关立交桥</t>
    <phoneticPr fontId="130" type="noConversion"/>
  </si>
  <si>
    <t>拱辰大街</t>
    <phoneticPr fontId="130" type="noConversion"/>
  </si>
  <si>
    <t>良乡中路——月华大街</t>
    <phoneticPr fontId="130" type="noConversion"/>
  </si>
  <si>
    <t>通州区</t>
    <phoneticPr fontId="130" type="noConversion"/>
  </si>
  <si>
    <t>新华大街</t>
    <phoneticPr fontId="130" type="noConversion"/>
  </si>
  <si>
    <t>车站路——通惠南路</t>
    <phoneticPr fontId="130" type="noConversion"/>
  </si>
  <si>
    <t>云景东路</t>
    <phoneticPr fontId="130" type="noConversion"/>
  </si>
  <si>
    <t>地铁八通线——云景南大街</t>
    <phoneticPr fontId="130" type="noConversion"/>
  </si>
  <si>
    <t>顺义区</t>
    <phoneticPr fontId="130" type="noConversion"/>
  </si>
  <si>
    <t>新顺大街</t>
    <phoneticPr fontId="130" type="noConversion"/>
  </si>
  <si>
    <t>幸福西街——站前街</t>
    <phoneticPr fontId="130" type="noConversion"/>
  </si>
  <si>
    <t>大兴区</t>
    <phoneticPr fontId="130" type="noConversion"/>
  </si>
  <si>
    <t>兴华大街</t>
    <phoneticPr fontId="130" type="noConversion"/>
  </si>
  <si>
    <t>金星西路——黄村火车站</t>
    <phoneticPr fontId="130" type="noConversion"/>
  </si>
  <si>
    <t>昌平区</t>
    <phoneticPr fontId="130" type="noConversion"/>
  </si>
  <si>
    <t>回龙观西大街</t>
    <phoneticPr fontId="130" type="noConversion"/>
  </si>
  <si>
    <t>京藏高速公路——文华西路</t>
    <phoneticPr fontId="130" type="noConversion"/>
  </si>
  <si>
    <t>鼓楼东、西街</t>
    <phoneticPr fontId="130" type="noConversion"/>
  </si>
  <si>
    <t>东环路——西环路</t>
    <phoneticPr fontId="130" type="noConversion"/>
  </si>
  <si>
    <t>鼓楼南、北街</t>
    <phoneticPr fontId="130" type="noConversion"/>
  </si>
  <si>
    <t>北环路——府学路</t>
    <phoneticPr fontId="130" type="noConversion"/>
  </si>
  <si>
    <t>平谷区</t>
    <phoneticPr fontId="130" type="noConversion"/>
  </si>
  <si>
    <t>步行街</t>
    <phoneticPr fontId="130" type="noConversion"/>
  </si>
  <si>
    <t>文化北街——向阳北街</t>
    <phoneticPr fontId="130" type="noConversion"/>
  </si>
  <si>
    <t>怀柔区</t>
    <phoneticPr fontId="130" type="noConversion"/>
  </si>
  <si>
    <t>商业街</t>
    <phoneticPr fontId="130" type="noConversion"/>
  </si>
  <si>
    <t>迎宾路——青春路</t>
    <phoneticPr fontId="130" type="noConversion"/>
  </si>
  <si>
    <t>密云县</t>
    <phoneticPr fontId="130" type="noConversion"/>
  </si>
  <si>
    <t>鼓楼东、西大街</t>
    <phoneticPr fontId="130" type="noConversion"/>
  </si>
  <si>
    <t>新中街——南更道</t>
    <phoneticPr fontId="130" type="noConversion"/>
  </si>
  <si>
    <t>鼓楼大街</t>
    <phoneticPr fontId="130" type="noConversion"/>
  </si>
  <si>
    <t>西大桥路——康复路</t>
    <phoneticPr fontId="130" type="noConversion"/>
  </si>
  <si>
    <t>延庆县</t>
    <phoneticPr fontId="130" type="noConversion"/>
  </si>
  <si>
    <t>东外大街</t>
    <phoneticPr fontId="130" type="noConversion"/>
  </si>
  <si>
    <t>香苑街——东顺城街</t>
    <phoneticPr fontId="130" type="noConversion"/>
  </si>
  <si>
    <t>不临58条商业街</t>
    <phoneticPr fontId="130" type="noConversion"/>
  </si>
  <si>
    <t>北京市基准地价商业用途楼层修正系数表</t>
    <phoneticPr fontId="130" type="noConversion"/>
  </si>
  <si>
    <t>所在楼层</t>
    <phoneticPr fontId="130" type="noConversion"/>
  </si>
  <si>
    <t>楼层修正系数</t>
    <phoneticPr fontId="130" type="noConversion"/>
  </si>
  <si>
    <t>7层及以上</t>
    <phoneticPr fontId="130" type="noConversion"/>
  </si>
  <si>
    <r>
      <t>商业R</t>
    </r>
    <r>
      <rPr>
        <sz val="10"/>
        <color indexed="8"/>
        <rFont val="宋体"/>
        <family val="3"/>
        <charset val="134"/>
      </rPr>
      <t>&lt;1</t>
    </r>
    <phoneticPr fontId="130" type="noConversion"/>
  </si>
  <si>
    <t>地上第7层及以上各层</t>
    <phoneticPr fontId="130" type="noConversion"/>
  </si>
  <si>
    <t>说明：R为宗地地上容积率</t>
    <phoneticPr fontId="130" type="noConversion"/>
  </si>
  <si>
    <t>基准地价</t>
    <phoneticPr fontId="19" type="noConversion"/>
  </si>
  <si>
    <t>*</t>
    <phoneticPr fontId="19" type="noConversion"/>
  </si>
  <si>
    <t>无</t>
    <phoneticPr fontId="129" type="noConversion"/>
  </si>
  <si>
    <t>二级分类</t>
    <phoneticPr fontId="130" type="noConversion"/>
  </si>
  <si>
    <t>办公</t>
    <phoneticPr fontId="8" type="noConversion"/>
  </si>
  <si>
    <t>自定义容积率</t>
    <phoneticPr fontId="8" type="noConversion"/>
  </si>
  <si>
    <t>典型户型修正</t>
    <phoneticPr fontId="34" type="noConversion"/>
  </si>
  <si>
    <t>基准地价</t>
    <phoneticPr fontId="34"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</si>
  <si>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4" type="noConversion"/>
  </si>
  <si>
    <t>区片价</t>
    <phoneticPr fontId="34" type="noConversion"/>
  </si>
  <si>
    <t>容积率修正</t>
    <phoneticPr fontId="34" type="noConversion"/>
  </si>
  <si>
    <t>修正</t>
    <phoneticPr fontId="34" type="noConversion"/>
  </si>
  <si>
    <t>基准地价系数修正法</t>
    <phoneticPr fontId="34" type="noConversion"/>
  </si>
  <si>
    <t>居住社区成熟度</t>
  </si>
  <si>
    <t>产业集聚程度</t>
  </si>
  <si>
    <t>交通便捷度</t>
  </si>
  <si>
    <t>自然及人文环境</t>
  </si>
  <si>
    <t>区位状况</t>
    <phoneticPr fontId="30" type="noConversion"/>
  </si>
  <si>
    <t>区位状况</t>
    <phoneticPr fontId="26" type="noConversion"/>
  </si>
  <si>
    <t>区域土地利用方向</t>
  </si>
  <si>
    <t>自然及人文环境状况</t>
  </si>
  <si>
    <t>临街状况</t>
  </si>
  <si>
    <t>毗邻道路的类型与等级</t>
  </si>
  <si>
    <t>房地产修正因素</t>
    <phoneticPr fontId="8" type="noConversion"/>
  </si>
  <si>
    <t>住宅、办公及商业</t>
    <phoneticPr fontId="29" type="noConversion"/>
  </si>
  <si>
    <t>工业</t>
    <phoneticPr fontId="29" type="noConversion"/>
  </si>
  <si>
    <t>区位状况</t>
    <phoneticPr fontId="26" type="noConversion"/>
  </si>
  <si>
    <t>商业繁华度</t>
    <phoneticPr fontId="30" type="noConversion"/>
  </si>
  <si>
    <t>交通便捷度</t>
    <phoneticPr fontId="30" type="noConversion"/>
  </si>
  <si>
    <t>办公集聚程度</t>
    <phoneticPr fontId="30" type="noConversion"/>
  </si>
  <si>
    <t>环境状况</t>
    <phoneticPr fontId="30" type="noConversion"/>
  </si>
  <si>
    <t>毗邻道路的类型与等级</t>
    <phoneticPr fontId="30" type="noConversion"/>
  </si>
  <si>
    <t>土地修正因素</t>
    <phoneticPr fontId="8" type="noConversion"/>
  </si>
  <si>
    <t>产业集聚程度</t>
    <phoneticPr fontId="30" type="noConversion"/>
  </si>
  <si>
    <t>区域土地利用方向</t>
    <phoneticPr fontId="30" type="noConversion"/>
  </si>
  <si>
    <t>土地级别</t>
    <phoneticPr fontId="30" type="noConversion"/>
  </si>
  <si>
    <t>相差季度数</t>
    <phoneticPr fontId="129" type="noConversion"/>
  </si>
  <si>
    <t>办公</t>
  </si>
  <si>
    <t>是</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</si>
  <si>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</si>
  <si>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9"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</si>
  <si>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9"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</si>
  <si>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9" type="noConversion"/>
  </si>
  <si>
    <t>楼面地价</t>
    <phoneticPr fontId="20" type="noConversion"/>
  </si>
  <si>
    <t>楼面地价</t>
    <phoneticPr fontId="20" type="noConversion"/>
  </si>
  <si>
    <t>楼面地价</t>
    <phoneticPr fontId="20" type="noConversion"/>
  </si>
  <si>
    <t>楼面地价</t>
    <phoneticPr fontId="130" type="noConversion"/>
  </si>
  <si>
    <r>
      <rPr>
        <b/>
        <sz val="11"/>
        <color indexed="8"/>
        <rFont val="仿宋_GB2312"/>
        <family val="3"/>
        <charset val="134"/>
      </rPr>
      <t>总价</t>
    </r>
    <phoneticPr fontId="14" type="noConversion"/>
  </si>
  <si>
    <r>
      <rPr>
        <b/>
        <sz val="10"/>
        <color indexed="8"/>
        <rFont val="仿宋_GB2312"/>
        <family val="3"/>
        <charset val="134"/>
      </rPr>
      <t>万元</t>
    </r>
    <phoneticPr fontId="14" type="noConversion"/>
  </si>
  <si>
    <r>
      <rPr>
        <b/>
        <sz val="11"/>
        <color indexed="8"/>
        <rFont val="仿宋_GB2312"/>
        <family val="3"/>
        <charset val="134"/>
      </rPr>
      <t>楼面地价</t>
    </r>
    <phoneticPr fontId="14"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</si>
  <si>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4" type="noConversion"/>
  </si>
  <si>
    <r>
      <rPr>
        <b/>
        <sz val="11"/>
        <color indexed="8"/>
        <rFont val="仿宋_GB2312"/>
        <family val="3"/>
        <charset val="134"/>
      </rPr>
      <t>单位面积地价</t>
    </r>
    <phoneticPr fontId="14"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</si>
  <si>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3" type="noConversion"/>
  </si>
  <si>
    <r>
      <rPr>
        <b/>
        <sz val="16"/>
        <color indexed="10"/>
        <rFont val="仿宋_GB2312"/>
        <family val="3"/>
        <charset val="134"/>
      </rPr>
      <t>基准地价系数修正法</t>
    </r>
    <phoneticPr fontId="130" type="noConversion"/>
  </si>
  <si>
    <r>
      <rPr>
        <sz val="10"/>
        <color indexed="10"/>
        <rFont val="仿宋_GB2312"/>
        <family val="3"/>
        <charset val="134"/>
      </rPr>
      <t>依据《北京市区片基准地价表》，能否通过用途和级别筛选？</t>
    </r>
    <phoneticPr fontId="130" type="noConversion"/>
  </si>
  <si>
    <r>
      <rPr>
        <sz val="10"/>
        <color indexed="8"/>
        <rFont val="仿宋_GB2312"/>
        <family val="3"/>
        <charset val="134"/>
      </rPr>
      <t>特殊情况</t>
    </r>
    <phoneticPr fontId="130" type="noConversion"/>
  </si>
  <si>
    <r>
      <rPr>
        <sz val="10"/>
        <color indexed="8"/>
        <rFont val="仿宋_GB2312"/>
        <family val="3"/>
        <charset val="134"/>
      </rPr>
      <t>公园</t>
    </r>
    <phoneticPr fontId="130" type="noConversion"/>
  </si>
  <si>
    <r>
      <rPr>
        <sz val="10"/>
        <color indexed="8"/>
        <rFont val="仿宋_GB2312"/>
        <family val="3"/>
        <charset val="134"/>
      </rPr>
      <t>水系</t>
    </r>
    <phoneticPr fontId="130" type="noConversion"/>
  </si>
  <si>
    <r>
      <rPr>
        <sz val="10"/>
        <color indexed="8"/>
        <rFont val="仿宋_GB2312"/>
        <family val="3"/>
        <charset val="134"/>
      </rPr>
      <t>中小学名校</t>
    </r>
    <phoneticPr fontId="130" type="noConversion"/>
  </si>
  <si>
    <r>
      <rPr>
        <sz val="10"/>
        <color indexed="8"/>
        <rFont val="仿宋_GB2312"/>
        <family val="3"/>
        <charset val="134"/>
      </rPr>
      <t>修正系数</t>
    </r>
    <phoneticPr fontId="130"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</si>
  <si>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30" type="noConversion"/>
  </si>
  <si>
    <r>
      <t>R</t>
    </r>
    <r>
      <rPr>
        <sz val="11"/>
        <rFont val="仿宋_GB2312"/>
        <family val="3"/>
        <charset val="134"/>
      </rPr>
      <t>≤</t>
    </r>
    <r>
      <rPr>
        <sz val="11"/>
        <rFont val="Arial"/>
        <family val="2"/>
      </rPr>
      <t>10</t>
    </r>
    <phoneticPr fontId="130" type="noConversion"/>
  </si>
  <si>
    <r>
      <rPr>
        <sz val="10"/>
        <rFont val="仿宋_GB2312"/>
        <family val="3"/>
        <charset val="134"/>
      </rPr>
      <t>政府土地出让收益比例</t>
    </r>
    <phoneticPr fontId="130" type="noConversion"/>
  </si>
  <si>
    <r>
      <rPr>
        <sz val="10"/>
        <rFont val="仿宋_GB2312"/>
        <family val="3"/>
        <charset val="134"/>
      </rPr>
      <t>工业</t>
    </r>
    <phoneticPr fontId="130"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</si>
  <si>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30" type="noConversion"/>
  </si>
  <si>
    <t>土地级别</t>
    <phoneticPr fontId="11" type="noConversion"/>
  </si>
  <si>
    <t>区片编号</t>
    <phoneticPr fontId="11" type="noConversion"/>
  </si>
  <si>
    <t>土地级别</t>
    <phoneticPr fontId="19" type="noConversion"/>
  </si>
  <si>
    <t>一级</t>
    <phoneticPr fontId="19" type="noConversion"/>
  </si>
  <si>
    <t>二级</t>
    <phoneticPr fontId="19" type="noConversion"/>
  </si>
  <si>
    <t>三级</t>
    <phoneticPr fontId="19" type="noConversion"/>
  </si>
  <si>
    <t>四级</t>
    <phoneticPr fontId="19" type="noConversion"/>
  </si>
  <si>
    <t>五级</t>
    <phoneticPr fontId="19" type="noConversion"/>
  </si>
  <si>
    <t>六级</t>
    <phoneticPr fontId="19" type="noConversion"/>
  </si>
  <si>
    <t>七级</t>
    <phoneticPr fontId="19" type="noConversion"/>
  </si>
  <si>
    <t>八级</t>
    <phoneticPr fontId="19" type="noConversion"/>
  </si>
  <si>
    <t>九级</t>
    <phoneticPr fontId="19" type="noConversion"/>
  </si>
  <si>
    <t>十级</t>
    <phoneticPr fontId="19" type="noConversion"/>
  </si>
  <si>
    <t>十一级</t>
    <phoneticPr fontId="19" type="noConversion"/>
  </si>
  <si>
    <t>十二级</t>
    <phoneticPr fontId="19" type="noConversion"/>
  </si>
  <si>
    <t>北京市</t>
    <phoneticPr fontId="11" type="noConversion"/>
  </si>
  <si>
    <t>北京市</t>
    <phoneticPr fontId="136" type="noConversion"/>
  </si>
  <si>
    <t>外省市地下修正系数请自行录入</t>
    <phoneticPr fontId="136" type="noConversion"/>
  </si>
  <si>
    <t>北京市系数</t>
  </si>
  <si>
    <r>
      <rPr>
        <b/>
        <sz val="16"/>
        <color indexed="10"/>
        <rFont val="仿宋_GB2312"/>
        <family val="3"/>
        <charset val="134"/>
      </rPr>
      <t>收益法</t>
    </r>
    <r>
      <rPr>
        <b/>
        <sz val="12"/>
        <rFont val="仿宋_GB2312"/>
        <family val="3"/>
        <charset val="134"/>
      </rPr>
      <t>（无租约及租期内）</t>
    </r>
    <phoneticPr fontId="8" type="noConversion"/>
  </si>
  <si>
    <r>
      <rPr>
        <b/>
        <sz val="12"/>
        <rFont val="仿宋_GB2312"/>
        <family val="3"/>
        <charset val="134"/>
      </rPr>
      <t>总价</t>
    </r>
    <phoneticPr fontId="20" type="noConversion"/>
  </si>
  <si>
    <r>
      <rPr>
        <b/>
        <sz val="12"/>
        <rFont val="仿宋_GB2312"/>
        <family val="3"/>
        <charset val="134"/>
      </rPr>
      <t>楼面单价</t>
    </r>
    <phoneticPr fontId="20" type="noConversion"/>
  </si>
  <si>
    <r>
      <rPr>
        <sz val="10"/>
        <color indexed="8"/>
        <rFont val="仿宋_GB2312"/>
        <family val="3"/>
        <charset val="134"/>
      </rPr>
      <t>序号</t>
    </r>
    <phoneticPr fontId="8" type="noConversion"/>
  </si>
  <si>
    <r>
      <rPr>
        <sz val="10"/>
        <color indexed="8"/>
        <rFont val="仿宋_GB2312"/>
        <family val="3"/>
        <charset val="134"/>
      </rPr>
      <t>项目</t>
    </r>
    <phoneticPr fontId="8" type="noConversion"/>
  </si>
  <si>
    <r>
      <rPr>
        <sz val="10"/>
        <color indexed="8"/>
        <rFont val="仿宋_GB2312"/>
        <family val="3"/>
        <charset val="134"/>
      </rPr>
      <t>数额</t>
    </r>
    <phoneticPr fontId="8" type="noConversion"/>
  </si>
  <si>
    <r>
      <rPr>
        <sz val="10"/>
        <color indexed="8"/>
        <rFont val="仿宋_GB2312"/>
        <family val="3"/>
        <charset val="134"/>
      </rPr>
      <t>取费标准</t>
    </r>
    <phoneticPr fontId="8" type="noConversion"/>
  </si>
  <si>
    <r>
      <rPr>
        <sz val="10"/>
        <color indexed="8"/>
        <rFont val="仿宋_GB2312"/>
        <family val="3"/>
        <charset val="134"/>
      </rPr>
      <t>序号</t>
    </r>
    <phoneticPr fontId="8" type="noConversion"/>
  </si>
  <si>
    <r>
      <rPr>
        <sz val="10"/>
        <color indexed="8"/>
        <rFont val="仿宋_GB2312"/>
        <family val="3"/>
        <charset val="134"/>
      </rPr>
      <t>项目</t>
    </r>
    <phoneticPr fontId="8" type="noConversion"/>
  </si>
  <si>
    <r>
      <rPr>
        <sz val="10"/>
        <color indexed="8"/>
        <rFont val="仿宋_GB2312"/>
        <family val="3"/>
        <charset val="134"/>
      </rPr>
      <t>数额</t>
    </r>
    <phoneticPr fontId="8" type="noConversion"/>
  </si>
  <si>
    <r>
      <rPr>
        <sz val="10"/>
        <color indexed="8"/>
        <rFont val="仿宋_GB2312"/>
        <family val="3"/>
        <charset val="134"/>
      </rPr>
      <t>计算公式</t>
    </r>
    <phoneticPr fontId="8" type="noConversion"/>
  </si>
  <si>
    <r>
      <rPr>
        <sz val="10"/>
        <color indexed="8"/>
        <rFont val="仿宋_GB2312"/>
        <family val="3"/>
        <charset val="134"/>
      </rPr>
      <t>取费标准</t>
    </r>
    <phoneticPr fontId="8"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</si>
  <si>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8" type="noConversion"/>
  </si>
  <si>
    <r>
      <rPr>
        <sz val="10"/>
        <color indexed="8"/>
        <rFont val="仿宋_GB2312"/>
        <family val="3"/>
        <charset val="134"/>
      </rPr>
      <t>租金</t>
    </r>
    <phoneticPr fontId="8"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</si>
  <si>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8"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</si>
  <si>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8"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</si>
  <si>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8" type="noConversion"/>
  </si>
  <si>
    <r>
      <rPr>
        <b/>
        <sz val="10"/>
        <color indexed="8"/>
        <rFont val="仿宋_GB2312"/>
        <family val="3"/>
        <charset val="134"/>
      </rPr>
      <t>建筑物现值</t>
    </r>
    <phoneticPr fontId="8"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</si>
  <si>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8"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</si>
  <si>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</si>
  <si>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8"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</si>
  <si>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8"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</si>
  <si>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8" type="noConversion"/>
  </si>
  <si>
    <t>3</t>
    <phoneticPr fontId="8" type="noConversion"/>
  </si>
  <si>
    <r>
      <rPr>
        <b/>
        <sz val="10"/>
        <color indexed="8"/>
        <rFont val="仿宋_GB2312"/>
        <family val="3"/>
        <charset val="134"/>
      </rPr>
      <t>年经营费用</t>
    </r>
    <phoneticPr fontId="8"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</si>
  <si>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8"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</si>
  <si>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8"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</si>
  <si>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</si>
  <si>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8" type="noConversion"/>
  </si>
  <si>
    <r>
      <rPr>
        <sz val="10"/>
        <color indexed="8"/>
        <rFont val="仿宋_GB2312"/>
        <family val="3"/>
        <charset val="134"/>
      </rPr>
      <t>综合税率</t>
    </r>
    <phoneticPr fontId="8" type="noConversion"/>
  </si>
  <si>
    <r>
      <rPr>
        <sz val="10"/>
        <color indexed="8"/>
        <rFont val="仿宋_GB2312"/>
        <family val="3"/>
        <charset val="134"/>
      </rPr>
      <t>两税两费</t>
    </r>
    <phoneticPr fontId="8"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</si>
  <si>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8"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</si>
  <si>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8" type="noConversion"/>
  </si>
  <si>
    <r>
      <rPr>
        <sz val="10"/>
        <color indexed="8"/>
        <rFont val="仿宋_GB2312"/>
        <family val="3"/>
        <charset val="134"/>
      </rPr>
      <t>房产税</t>
    </r>
    <phoneticPr fontId="8"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</si>
  <si>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8" type="noConversion"/>
  </si>
  <si>
    <r>
      <rPr>
        <sz val="10"/>
        <color indexed="8"/>
        <rFont val="仿宋_GB2312"/>
        <family val="3"/>
        <charset val="134"/>
      </rPr>
      <t>城镇土地使用税</t>
    </r>
    <phoneticPr fontId="8"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</si>
  <si>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8"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</si>
  <si>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</si>
  <si>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销售费用</t>
    </r>
    <phoneticPr fontId="8" type="noConversion"/>
  </si>
  <si>
    <t>——</t>
    <phoneticPr fontId="8"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</si>
  <si>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</si>
  <si>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土地面积（㎡）</t>
    </r>
    <phoneticPr fontId="8" type="noConversion"/>
  </si>
  <si>
    <r>
      <rPr>
        <sz val="10"/>
        <color indexed="8"/>
        <rFont val="仿宋_GB2312"/>
        <family val="3"/>
        <charset val="134"/>
      </rPr>
      <t>贷款利息</t>
    </r>
    <phoneticPr fontId="8" type="noConversion"/>
  </si>
  <si>
    <r>
      <rPr>
        <sz val="10"/>
        <color indexed="8"/>
        <rFont val="仿宋_GB2312"/>
        <family val="3"/>
        <charset val="134"/>
      </rPr>
      <t>维修费</t>
    </r>
    <phoneticPr fontId="8"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</si>
  <si>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8" type="noConversion"/>
  </si>
  <si>
    <r>
      <rPr>
        <sz val="10"/>
        <color indexed="8"/>
        <rFont val="仿宋_GB2312"/>
        <family val="3"/>
        <charset val="134"/>
      </rPr>
      <t>建设周期（年）</t>
    </r>
    <phoneticPr fontId="8"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</si>
  <si>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8" type="noConversion"/>
  </si>
  <si>
    <r>
      <rPr>
        <sz val="10"/>
        <color indexed="8"/>
        <rFont val="仿宋_GB2312"/>
        <family val="3"/>
        <charset val="134"/>
      </rPr>
      <t>销售费用产生的利息</t>
    </r>
    <phoneticPr fontId="8"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</si>
  <si>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</si>
  <si>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8"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</si>
  <si>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8" type="noConversion"/>
  </si>
  <si>
    <t>4</t>
    <phoneticPr fontId="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</si>
  <si>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8"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</si>
  <si>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8"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</si>
  <si>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8" type="noConversion"/>
  </si>
  <si>
    <t>5</t>
    <phoneticPr fontId="8" type="noConversion"/>
  </si>
  <si>
    <r>
      <rPr>
        <sz val="10"/>
        <color indexed="8"/>
        <rFont val="仿宋_GB2312"/>
        <family val="3"/>
        <charset val="134"/>
      </rPr>
      <t>房地产未来第一年净收益</t>
    </r>
    <r>
      <rPr>
        <sz val="10"/>
        <color indexed="8"/>
        <rFont val="Arial"/>
        <family val="2"/>
      </rPr>
      <t>×</t>
    </r>
    <phoneticPr fontId="8"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</si>
  <si>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8"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</si>
  <si>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8" type="noConversion"/>
  </si>
  <si>
    <r>
      <rPr>
        <sz val="10"/>
        <color indexed="8"/>
        <rFont val="仿宋_GB2312"/>
        <family val="3"/>
        <charset val="134"/>
      </rPr>
      <t>收益年期</t>
    </r>
    <r>
      <rPr>
        <sz val="10"/>
        <color indexed="8"/>
        <rFont val="Arial"/>
        <family val="2"/>
      </rPr>
      <t>(n)</t>
    </r>
    <phoneticPr fontId="8"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</si>
  <si>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</si>
  <si>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年增长比率</t>
    </r>
    <r>
      <rPr>
        <sz val="10"/>
        <color indexed="8"/>
        <rFont val="Arial"/>
        <family val="2"/>
      </rPr>
      <t>(g)</t>
    </r>
    <phoneticPr fontId="8" type="noConversion"/>
  </si>
  <si>
    <t>6</t>
    <phoneticPr fontId="8" type="noConversion"/>
  </si>
  <si>
    <r>
      <rPr>
        <b/>
        <sz val="10"/>
        <color indexed="8"/>
        <rFont val="仿宋_GB2312"/>
        <family val="3"/>
        <charset val="134"/>
      </rPr>
      <t>折现价值</t>
    </r>
    <phoneticPr fontId="8"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</si>
  <si>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8" type="noConversion"/>
  </si>
  <si>
    <r>
      <rPr>
        <b/>
        <sz val="10"/>
        <color indexed="8"/>
        <rFont val="仿宋_GB2312"/>
        <family val="3"/>
        <charset val="134"/>
      </rPr>
      <t>年经营费用</t>
    </r>
    <phoneticPr fontId="8"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</si>
  <si>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8"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</si>
  <si>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8" type="noConversion"/>
  </si>
  <si>
    <r>
      <rPr>
        <sz val="10"/>
        <color indexed="8"/>
        <rFont val="仿宋_GB2312"/>
        <family val="3"/>
        <charset val="134"/>
      </rPr>
      <t>综合税率</t>
    </r>
    <phoneticPr fontId="21" type="noConversion"/>
  </si>
  <si>
    <r>
      <rPr>
        <sz val="10"/>
        <color indexed="8"/>
        <rFont val="仿宋_GB2312"/>
        <family val="3"/>
        <charset val="134"/>
      </rPr>
      <t>两税两费</t>
    </r>
    <phoneticPr fontId="8"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</si>
  <si>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8"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</si>
  <si>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</si>
  <si>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房产税</t>
    </r>
    <phoneticPr fontId="8" type="noConversion"/>
  </si>
  <si>
    <r>
      <rPr>
        <sz val="10"/>
        <color indexed="8"/>
        <rFont val="仿宋_GB2312"/>
        <family val="3"/>
        <charset val="134"/>
      </rPr>
      <t>城镇土地使用税</t>
    </r>
    <phoneticPr fontId="8"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</si>
  <si>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8"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</si>
  <si>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8" type="noConversion"/>
  </si>
  <si>
    <r>
      <rPr>
        <sz val="10"/>
        <color indexed="8"/>
        <rFont val="仿宋_GB2312"/>
        <family val="3"/>
        <charset val="134"/>
      </rPr>
      <t>土地面积（㎡）</t>
    </r>
    <phoneticPr fontId="8" type="noConversion"/>
  </si>
  <si>
    <r>
      <rPr>
        <sz val="10"/>
        <color indexed="8"/>
        <rFont val="仿宋_GB2312"/>
        <family val="3"/>
        <charset val="134"/>
      </rPr>
      <t>维修费</t>
    </r>
    <phoneticPr fontId="8"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</si>
  <si>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8"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</si>
  <si>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8"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</si>
  <si>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</si>
  <si>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8" type="noConversion"/>
  </si>
  <si>
    <r>
      <rPr>
        <sz val="10"/>
        <color indexed="8"/>
        <rFont val="仿宋_GB2312"/>
        <family val="3"/>
        <charset val="134"/>
      </rPr>
      <t>房地产未来第一年净收益</t>
    </r>
    <r>
      <rPr>
        <sz val="10"/>
        <color indexed="8"/>
        <rFont val="Arial"/>
        <family val="2"/>
      </rPr>
      <t>×</t>
    </r>
    <phoneticPr fontId="8"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</si>
  <si>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21" type="noConversion"/>
  </si>
  <si>
    <r>
      <rPr>
        <sz val="10"/>
        <color indexed="8"/>
        <rFont val="仿宋_GB2312"/>
        <family val="3"/>
        <charset val="134"/>
      </rPr>
      <t>年增长比率</t>
    </r>
    <r>
      <rPr>
        <sz val="10"/>
        <color indexed="8"/>
        <rFont val="Arial"/>
        <family val="2"/>
      </rPr>
      <t>(g)</t>
    </r>
    <phoneticPr fontId="8"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</si>
  <si>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8"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</si>
  <si>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8" type="noConversion"/>
  </si>
  <si>
    <r>
      <rPr>
        <sz val="10"/>
        <color indexed="8"/>
        <rFont val="仿宋_GB2312"/>
        <family val="3"/>
        <charset val="134"/>
      </rPr>
      <t>建筑面积（㎡）</t>
    </r>
    <phoneticPr fontId="8"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</si>
  <si>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8" type="noConversion"/>
  </si>
  <si>
    <r>
      <rPr>
        <sz val="10"/>
        <rFont val="仿宋_GB2312"/>
        <family val="3"/>
        <charset val="134"/>
      </rPr>
      <t>房屋年纯收益</t>
    </r>
    <phoneticPr fontId="8" type="noConversion"/>
  </si>
  <si>
    <r>
      <rPr>
        <sz val="10"/>
        <rFont val="仿宋_GB2312"/>
        <family val="3"/>
        <charset val="134"/>
      </rPr>
      <t>建筑物资本化率</t>
    </r>
    <phoneticPr fontId="8" type="noConversion"/>
  </si>
  <si>
    <r>
      <rPr>
        <b/>
        <sz val="10"/>
        <color indexed="8"/>
        <rFont val="仿宋_GB2312"/>
        <family val="3"/>
        <charset val="134"/>
      </rPr>
      <t>确定合理的建筑物与土地价值比例</t>
    </r>
    <phoneticPr fontId="8" type="noConversion"/>
  </si>
  <si>
    <r>
      <t>1.</t>
    </r>
    <r>
      <rPr>
        <b/>
        <sz val="10"/>
        <color indexed="10"/>
        <rFont val="仿宋_GB2312"/>
        <family val="3"/>
        <charset val="134"/>
      </rPr>
      <t>收益比率</t>
    </r>
    <phoneticPr fontId="8" type="noConversion"/>
  </si>
  <si>
    <r>
      <rPr>
        <sz val="10"/>
        <rFont val="仿宋_GB2312"/>
        <family val="3"/>
        <charset val="134"/>
      </rPr>
      <t>建筑物年收益比率</t>
    </r>
    <phoneticPr fontId="8" type="noConversion"/>
  </si>
  <si>
    <r>
      <rPr>
        <sz val="10"/>
        <rFont val="仿宋_GB2312"/>
        <family val="3"/>
        <charset val="134"/>
      </rPr>
      <t>土地年收益比率</t>
    </r>
    <phoneticPr fontId="8" type="noConversion"/>
  </si>
  <si>
    <r>
      <t>2.</t>
    </r>
    <r>
      <rPr>
        <b/>
        <sz val="10"/>
        <color indexed="10"/>
        <rFont val="仿宋_GB2312"/>
        <family val="3"/>
        <charset val="134"/>
      </rPr>
      <t>成本比率</t>
    </r>
    <phoneticPr fontId="8" type="noConversion"/>
  </si>
  <si>
    <r>
      <rPr>
        <sz val="10"/>
        <color indexed="8"/>
        <rFont val="仿宋_GB2312"/>
        <family val="3"/>
        <charset val="134"/>
      </rPr>
      <t>建筑物价值比率</t>
    </r>
    <phoneticPr fontId="8" type="noConversion"/>
  </si>
  <si>
    <r>
      <rPr>
        <sz val="10"/>
        <color indexed="8"/>
        <rFont val="仿宋_GB2312"/>
        <family val="3"/>
        <charset val="134"/>
      </rPr>
      <t>土地价值比率</t>
    </r>
    <phoneticPr fontId="8" type="noConversion"/>
  </si>
  <si>
    <t>1.</t>
    <phoneticPr fontId="8" type="noConversion"/>
  </si>
  <si>
    <r>
      <rPr>
        <sz val="10"/>
        <color indexed="8"/>
        <rFont val="宋体"/>
        <family val="3"/>
        <charset val="134"/>
      </rPr>
      <t>（</t>
    </r>
    <r>
      <rPr>
        <sz val="10"/>
        <color indexed="8"/>
        <rFont val="Arial"/>
        <family val="2"/>
      </rPr>
      <t>1</t>
    </r>
    <r>
      <rPr>
        <sz val="10"/>
        <color indexed="8"/>
        <rFont val="宋体"/>
        <family val="3"/>
        <charset val="134"/>
      </rPr>
      <t>）</t>
    </r>
    <phoneticPr fontId="8" type="noConversion"/>
  </si>
  <si>
    <r>
      <rPr>
        <sz val="10"/>
        <color indexed="8"/>
        <rFont val="宋体"/>
        <family val="3"/>
        <charset val="134"/>
      </rPr>
      <t>（</t>
    </r>
    <r>
      <rPr>
        <sz val="10"/>
        <color indexed="8"/>
        <rFont val="Arial"/>
        <family val="2"/>
      </rPr>
      <t>2</t>
    </r>
    <r>
      <rPr>
        <sz val="10"/>
        <color indexed="8"/>
        <rFont val="宋体"/>
        <family val="3"/>
        <charset val="134"/>
      </rPr>
      <t>）</t>
    </r>
    <phoneticPr fontId="8" type="noConversion"/>
  </si>
  <si>
    <t>2.</t>
    <phoneticPr fontId="8" type="noConversion"/>
  </si>
  <si>
    <t>3.</t>
    <phoneticPr fontId="8" type="noConversion"/>
  </si>
  <si>
    <t>4.</t>
    <phoneticPr fontId="8" type="noConversion"/>
  </si>
  <si>
    <t>2.</t>
    <phoneticPr fontId="8" type="noConversion"/>
  </si>
  <si>
    <r>
      <rPr>
        <sz val="10"/>
        <color indexed="8"/>
        <rFont val="宋体"/>
        <family val="3"/>
        <charset val="134"/>
      </rPr>
      <t>（</t>
    </r>
    <r>
      <rPr>
        <sz val="10"/>
        <color indexed="8"/>
        <rFont val="Arial"/>
        <family val="2"/>
      </rPr>
      <t>1</t>
    </r>
    <r>
      <rPr>
        <sz val="10"/>
        <color indexed="8"/>
        <rFont val="宋体"/>
        <family val="3"/>
        <charset val="134"/>
      </rPr>
      <t>）</t>
    </r>
    <phoneticPr fontId="8" type="noConversion"/>
  </si>
  <si>
    <r>
      <t>1</t>
    </r>
    <r>
      <rPr>
        <sz val="10"/>
        <color indexed="8"/>
        <rFont val="宋体"/>
        <family val="3"/>
        <charset val="134"/>
      </rPr>
      <t>）</t>
    </r>
    <phoneticPr fontId="8" type="noConversion"/>
  </si>
  <si>
    <r>
      <t>2</t>
    </r>
    <r>
      <rPr>
        <sz val="10"/>
        <color indexed="8"/>
        <rFont val="宋体"/>
        <family val="3"/>
        <charset val="134"/>
      </rPr>
      <t>）</t>
    </r>
    <phoneticPr fontId="8" type="noConversion"/>
  </si>
  <si>
    <r>
      <t>3</t>
    </r>
    <r>
      <rPr>
        <sz val="10"/>
        <color indexed="8"/>
        <rFont val="宋体"/>
        <family val="3"/>
        <charset val="134"/>
      </rPr>
      <t>）</t>
    </r>
    <phoneticPr fontId="8" type="noConversion"/>
  </si>
  <si>
    <r>
      <rPr>
        <sz val="10"/>
        <color indexed="8"/>
        <rFont val="宋体"/>
        <family val="3"/>
        <charset val="134"/>
      </rPr>
      <t>（</t>
    </r>
    <r>
      <rPr>
        <sz val="10"/>
        <color indexed="8"/>
        <rFont val="Arial"/>
        <family val="2"/>
      </rPr>
      <t>2</t>
    </r>
    <r>
      <rPr>
        <sz val="10"/>
        <color indexed="8"/>
        <rFont val="宋体"/>
        <family val="3"/>
        <charset val="134"/>
      </rPr>
      <t>）</t>
    </r>
    <phoneticPr fontId="8" type="noConversion"/>
  </si>
  <si>
    <t>3.</t>
    <phoneticPr fontId="8" type="noConversion"/>
  </si>
  <si>
    <t>4.</t>
    <phoneticPr fontId="8" type="noConversion"/>
  </si>
  <si>
    <t>5.</t>
    <phoneticPr fontId="8" type="noConversion"/>
  </si>
  <si>
    <t>（3）</t>
    <phoneticPr fontId="8" type="noConversion"/>
  </si>
  <si>
    <t>（4）</t>
    <phoneticPr fontId="8" type="noConversion"/>
  </si>
  <si>
    <t>（5）</t>
    <phoneticPr fontId="8" type="noConversion"/>
  </si>
  <si>
    <t>（6）</t>
    <phoneticPr fontId="8" type="noConversion"/>
  </si>
  <si>
    <r>
      <t>1 .</t>
    </r>
    <r>
      <rPr>
        <b/>
        <sz val="12"/>
        <color indexed="8"/>
        <rFont val="仿宋_GB2312"/>
        <family val="3"/>
        <charset val="134"/>
      </rPr>
      <t>开发完成后不动产总价</t>
    </r>
    <phoneticPr fontId="19" type="noConversion"/>
  </si>
  <si>
    <r>
      <t>2 .</t>
    </r>
    <r>
      <rPr>
        <b/>
        <sz val="12"/>
        <color indexed="8"/>
        <rFont val="仿宋_GB2312"/>
        <family val="3"/>
        <charset val="134"/>
      </rPr>
      <t>扣减项</t>
    </r>
    <phoneticPr fontId="19" type="noConversion"/>
  </si>
  <si>
    <r>
      <t>3 .</t>
    </r>
    <r>
      <rPr>
        <b/>
        <sz val="11"/>
        <color indexed="8"/>
        <rFont val="仿宋_GB2312"/>
        <family val="3"/>
        <charset val="134"/>
      </rPr>
      <t>土地价格</t>
    </r>
    <phoneticPr fontId="20"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</si>
  <si>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</si>
  <si>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</si>
  <si>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</si>
  <si>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t>1</t>
    </r>
    <r>
      <rPr>
        <sz val="10"/>
        <color indexed="8"/>
        <rFont val="宋体"/>
        <family val="3"/>
        <charset val="134"/>
      </rPr>
      <t>）</t>
    </r>
    <phoneticPr fontId="19"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</si>
  <si>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</si>
  <si>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</si>
  <si>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</si>
  <si>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</si>
  <si>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20"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</si>
  <si>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</si>
  <si>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</si>
  <si>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20" type="noConversion"/>
  </si>
  <si>
    <r>
      <t>2</t>
    </r>
    <r>
      <rPr>
        <sz val="10"/>
        <color indexed="8"/>
        <rFont val="宋体"/>
        <family val="3"/>
        <charset val="134"/>
      </rPr>
      <t>）</t>
    </r>
    <phoneticPr fontId="20" type="noConversion"/>
  </si>
  <si>
    <r>
      <rPr>
        <b/>
        <sz val="11"/>
        <color indexed="8"/>
        <rFont val="宋体"/>
        <family val="3"/>
        <charset val="134"/>
      </rPr>
      <t>（</t>
    </r>
    <r>
      <rPr>
        <b/>
        <sz val="11"/>
        <color indexed="8"/>
        <rFont val="Arial"/>
        <family val="2"/>
      </rPr>
      <t>4</t>
    </r>
    <r>
      <rPr>
        <b/>
        <sz val="11"/>
        <color indexed="8"/>
        <rFont val="宋体"/>
        <family val="3"/>
        <charset val="134"/>
      </rPr>
      <t>）</t>
    </r>
    <phoneticPr fontId="20"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</si>
  <si>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</si>
  <si>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</si>
  <si>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20" type="noConversion"/>
  </si>
  <si>
    <r>
      <rPr>
        <b/>
        <sz val="11"/>
        <color indexed="8"/>
        <rFont val="宋体"/>
        <family val="3"/>
        <charset val="134"/>
      </rPr>
      <t>（</t>
    </r>
    <r>
      <rPr>
        <b/>
        <sz val="11"/>
        <color indexed="8"/>
        <rFont val="Arial"/>
        <family val="2"/>
      </rPr>
      <t>8</t>
    </r>
    <r>
      <rPr>
        <b/>
        <sz val="11"/>
        <color indexed="8"/>
        <rFont val="宋体"/>
        <family val="3"/>
        <charset val="134"/>
      </rPr>
      <t>）</t>
    </r>
    <phoneticPr fontId="20" type="noConversion"/>
  </si>
  <si>
    <r>
      <rPr>
        <b/>
        <sz val="11"/>
        <color indexed="8"/>
        <rFont val="宋体"/>
        <family val="3"/>
        <charset val="134"/>
      </rPr>
      <t>（</t>
    </r>
    <r>
      <rPr>
        <b/>
        <sz val="11"/>
        <color indexed="8"/>
        <rFont val="Arial"/>
        <family val="2"/>
      </rPr>
      <t>9</t>
    </r>
    <r>
      <rPr>
        <b/>
        <sz val="11"/>
        <color indexed="8"/>
        <rFont val="宋体"/>
        <family val="3"/>
        <charset val="134"/>
      </rPr>
      <t>）</t>
    </r>
    <phoneticPr fontId="20" type="noConversion"/>
  </si>
  <si>
    <r>
      <t xml:space="preserve">2. </t>
    </r>
    <r>
      <rPr>
        <b/>
        <sz val="12"/>
        <color indexed="8"/>
        <rFont val="仿宋_GB2312"/>
        <family val="3"/>
        <charset val="134"/>
      </rPr>
      <t>房屋现值</t>
    </r>
    <phoneticPr fontId="19" type="noConversion"/>
  </si>
  <si>
    <r>
      <t>3 .</t>
    </r>
    <r>
      <rPr>
        <b/>
        <sz val="11"/>
        <color indexed="8"/>
        <rFont val="仿宋_GB2312"/>
        <family val="3"/>
        <charset val="134"/>
      </rPr>
      <t>交易税费</t>
    </r>
    <phoneticPr fontId="46" type="noConversion"/>
  </si>
  <si>
    <r>
      <t xml:space="preserve">4. </t>
    </r>
    <r>
      <rPr>
        <b/>
        <sz val="11"/>
        <color indexed="8"/>
        <rFont val="仿宋_GB2312"/>
        <family val="3"/>
        <charset val="134"/>
      </rPr>
      <t>土地价格</t>
    </r>
    <phoneticPr fontId="20" type="noConversion"/>
  </si>
  <si>
    <t>（6）</t>
    <phoneticPr fontId="46" type="noConversion"/>
  </si>
  <si>
    <t>（7）</t>
  </si>
  <si>
    <t>（8）</t>
  </si>
  <si>
    <t>（1）</t>
    <phoneticPr fontId="8" type="noConversion"/>
  </si>
  <si>
    <t>（2）</t>
    <phoneticPr fontId="8" type="noConversion"/>
  </si>
  <si>
    <t>6.</t>
    <phoneticPr fontId="8" type="noConversion"/>
  </si>
  <si>
    <t>7.</t>
    <phoneticPr fontId="8" type="noConversion"/>
  </si>
  <si>
    <t>2.</t>
    <phoneticPr fontId="8" type="noConversion"/>
  </si>
  <si>
    <r>
      <t>1</t>
    </r>
    <r>
      <rPr>
        <sz val="10"/>
        <color indexed="8"/>
        <rFont val="宋体"/>
        <family val="3"/>
        <charset val="134"/>
      </rPr>
      <t>）</t>
    </r>
    <phoneticPr fontId="8" type="noConversion"/>
  </si>
  <si>
    <r>
      <rPr>
        <sz val="10"/>
        <color indexed="8"/>
        <rFont val="宋体"/>
        <family val="3"/>
        <charset val="134"/>
      </rPr>
      <t>（</t>
    </r>
    <r>
      <rPr>
        <sz val="10"/>
        <color indexed="8"/>
        <rFont val="Arial"/>
        <family val="2"/>
      </rPr>
      <t>1</t>
    </r>
    <r>
      <rPr>
        <sz val="10"/>
        <color indexed="8"/>
        <rFont val="宋体"/>
        <family val="3"/>
        <charset val="134"/>
      </rPr>
      <t>）</t>
    </r>
    <phoneticPr fontId="8"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</si>
  <si>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</si>
  <si>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</si>
  <si>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</si>
  <si>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8" type="noConversion"/>
  </si>
  <si>
    <r>
      <rPr>
        <sz val="10"/>
        <color indexed="8"/>
        <rFont val="宋体"/>
        <family val="3"/>
        <charset val="134"/>
      </rPr>
      <t>（</t>
    </r>
    <r>
      <rPr>
        <sz val="10"/>
        <color indexed="8"/>
        <rFont val="Arial"/>
        <family val="2"/>
      </rPr>
      <t>5</t>
    </r>
    <r>
      <rPr>
        <sz val="10"/>
        <color indexed="8"/>
        <rFont val="宋体"/>
        <family val="3"/>
        <charset val="134"/>
      </rPr>
      <t>）</t>
    </r>
    <phoneticPr fontId="8" type="noConversion"/>
  </si>
  <si>
    <r>
      <rPr>
        <sz val="10"/>
        <color indexed="8"/>
        <rFont val="宋体"/>
        <family val="3"/>
        <charset val="134"/>
      </rPr>
      <t>（</t>
    </r>
    <r>
      <rPr>
        <sz val="10"/>
        <color indexed="8"/>
        <rFont val="Arial"/>
        <family val="2"/>
      </rPr>
      <t>6</t>
    </r>
    <r>
      <rPr>
        <sz val="10"/>
        <color indexed="8"/>
        <rFont val="宋体"/>
        <family val="3"/>
        <charset val="134"/>
      </rPr>
      <t>）</t>
    </r>
    <phoneticPr fontId="8" type="noConversion"/>
  </si>
  <si>
    <r>
      <rPr>
        <sz val="10"/>
        <color indexed="8"/>
        <rFont val="宋体"/>
        <family val="3"/>
        <charset val="134"/>
      </rPr>
      <t>（</t>
    </r>
    <r>
      <rPr>
        <sz val="10"/>
        <color indexed="8"/>
        <rFont val="Arial"/>
        <family val="2"/>
      </rPr>
      <t>7</t>
    </r>
    <r>
      <rPr>
        <sz val="10"/>
        <color indexed="8"/>
        <rFont val="宋体"/>
        <family val="3"/>
        <charset val="134"/>
      </rPr>
      <t>）</t>
    </r>
    <phoneticPr fontId="8" type="noConversion"/>
  </si>
  <si>
    <r>
      <t>1</t>
    </r>
    <r>
      <rPr>
        <sz val="10"/>
        <color indexed="8"/>
        <rFont val="宋体"/>
        <family val="3"/>
        <charset val="134"/>
      </rPr>
      <t>）</t>
    </r>
    <phoneticPr fontId="8" type="noConversion"/>
  </si>
  <si>
    <r>
      <t>2</t>
    </r>
    <r>
      <rPr>
        <sz val="10"/>
        <color indexed="8"/>
        <rFont val="宋体"/>
        <family val="3"/>
        <charset val="134"/>
      </rPr>
      <t>）</t>
    </r>
    <phoneticPr fontId="8" type="noConversion"/>
  </si>
  <si>
    <r>
      <t>3</t>
    </r>
    <r>
      <rPr>
        <sz val="10"/>
        <color indexed="8"/>
        <rFont val="宋体"/>
        <family val="3"/>
        <charset val="134"/>
      </rPr>
      <t>）</t>
    </r>
    <phoneticPr fontId="8" type="noConversion"/>
  </si>
  <si>
    <r>
      <t>4</t>
    </r>
    <r>
      <rPr>
        <sz val="10"/>
        <color indexed="8"/>
        <rFont val="宋体"/>
        <family val="3"/>
        <charset val="134"/>
      </rPr>
      <t>）</t>
    </r>
    <phoneticPr fontId="8" type="noConversion"/>
  </si>
  <si>
    <r>
      <t>5</t>
    </r>
    <r>
      <rPr>
        <sz val="10"/>
        <color indexed="8"/>
        <rFont val="宋体"/>
        <family val="3"/>
        <charset val="134"/>
      </rPr>
      <t>）</t>
    </r>
    <phoneticPr fontId="8"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</si>
  <si>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8"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</si>
  <si>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8"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</si>
  <si>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8" type="noConversion"/>
  </si>
  <si>
    <t>（7）</t>
    <phoneticPr fontId="8" type="noConversion"/>
  </si>
  <si>
    <t>3</t>
    <phoneticPr fontId="8" type="noConversion"/>
  </si>
  <si>
    <t>4</t>
    <phoneticPr fontId="8" type="noConversion"/>
  </si>
  <si>
    <t>5</t>
    <phoneticPr fontId="8" type="noConversion"/>
  </si>
  <si>
    <t>——</t>
    <phoneticPr fontId="19" type="noConversion"/>
  </si>
  <si>
    <t>商业</t>
    <phoneticPr fontId="11" type="noConversion"/>
  </si>
  <si>
    <t>办公</t>
    <phoneticPr fontId="11" type="noConversion"/>
  </si>
  <si>
    <t>住宅</t>
    <phoneticPr fontId="11" type="noConversion"/>
  </si>
  <si>
    <t>工业</t>
    <phoneticPr fontId="11" type="noConversion"/>
  </si>
  <si>
    <t xml:space="preserve">— </t>
    <phoneticPr fontId="8" type="noConversion"/>
  </si>
  <si>
    <t>估价项目名称：</t>
    <phoneticPr fontId="8" type="noConversion"/>
  </si>
  <si>
    <t>北京康正宏基房地产评估有限公司</t>
    <phoneticPr fontId="8" type="noConversion"/>
  </si>
  <si>
    <t>评估意见函</t>
    <phoneticPr fontId="8" type="noConversion"/>
  </si>
  <si>
    <t>估价对象：</t>
    <phoneticPr fontId="8" type="noConversion"/>
  </si>
  <si>
    <t>估价目的：</t>
    <phoneticPr fontId="8" type="noConversion"/>
  </si>
  <si>
    <t>今日</t>
    <phoneticPr fontId="8" type="noConversion"/>
  </si>
  <si>
    <t>资质过期显示为红色</t>
    <phoneticPr fontId="8" type="noConversion"/>
  </si>
  <si>
    <t>注册房地产估价师</t>
    <phoneticPr fontId="8" type="noConversion"/>
  </si>
  <si>
    <t>注册证号</t>
    <phoneticPr fontId="8" type="noConversion"/>
  </si>
  <si>
    <t>资质有效期</t>
    <phoneticPr fontId="8" type="noConversion"/>
  </si>
  <si>
    <t>土地估价师</t>
    <phoneticPr fontId="8" type="noConversion"/>
  </si>
  <si>
    <t>证号</t>
    <phoneticPr fontId="8" type="noConversion"/>
  </si>
  <si>
    <t>梁津</t>
    <phoneticPr fontId="8" type="noConversion"/>
  </si>
  <si>
    <t>叶凌</t>
    <phoneticPr fontId="8" type="noConversion"/>
  </si>
  <si>
    <t>王鹏</t>
    <phoneticPr fontId="8" type="noConversion"/>
  </si>
  <si>
    <t>欧红伟</t>
    <phoneticPr fontId="8" type="noConversion"/>
  </si>
  <si>
    <t>吴薇</t>
    <phoneticPr fontId="8" type="noConversion"/>
  </si>
  <si>
    <t>陈颖</t>
    <phoneticPr fontId="8" type="noConversion"/>
  </si>
  <si>
    <t>崔锴</t>
    <phoneticPr fontId="8" type="noConversion"/>
  </si>
  <si>
    <t>郑燚</t>
    <phoneticPr fontId="8" type="noConversion"/>
  </si>
  <si>
    <t>赵雯</t>
    <phoneticPr fontId="8" type="noConversion"/>
  </si>
  <si>
    <t>刘敬东</t>
    <phoneticPr fontId="8" type="noConversion"/>
  </si>
  <si>
    <t>估价机构</t>
    <phoneticPr fontId="8" type="noConversion"/>
  </si>
  <si>
    <t>房地产</t>
    <phoneticPr fontId="8" type="noConversion"/>
  </si>
  <si>
    <t>土地</t>
    <phoneticPr fontId="8" type="noConversion"/>
  </si>
  <si>
    <t>证书名称</t>
    <phoneticPr fontId="8" type="noConversion"/>
  </si>
  <si>
    <t>号码</t>
    <phoneticPr fontId="8" type="noConversion"/>
  </si>
  <si>
    <t>资质有效期</t>
    <phoneticPr fontId="8" type="noConversion"/>
  </si>
  <si>
    <t>资质证书：一级</t>
    <phoneticPr fontId="8" type="noConversion"/>
  </si>
  <si>
    <t>建房估证字[2013]081号</t>
    <phoneticPr fontId="8" type="noConversion"/>
  </si>
  <si>
    <t>注册证书</t>
    <phoneticPr fontId="8" type="noConversion"/>
  </si>
  <si>
    <t>A201111009</t>
    <phoneticPr fontId="8" type="noConversion"/>
  </si>
  <si>
    <t>资信等级：A级</t>
    <phoneticPr fontId="8" type="noConversion"/>
  </si>
  <si>
    <t>估价项目名称</t>
    <phoneticPr fontId="8" type="noConversion"/>
  </si>
  <si>
    <t>报告编号</t>
    <phoneticPr fontId="8" type="noConversion"/>
  </si>
  <si>
    <t>现场勘查日</t>
    <phoneticPr fontId="8" type="noConversion"/>
  </si>
  <si>
    <t>签字估价师</t>
    <phoneticPr fontId="8" type="noConversion"/>
  </si>
  <si>
    <t xml:space="preserve">估价委托人  </t>
    <phoneticPr fontId="8" type="noConversion"/>
  </si>
  <si>
    <t>估价目的</t>
    <phoneticPr fontId="8" type="noConversion"/>
  </si>
  <si>
    <t>价值类型</t>
    <phoneticPr fontId="8" type="noConversion"/>
  </si>
  <si>
    <t>抵押结果包含：</t>
    <phoneticPr fontId="8" type="noConversion"/>
  </si>
  <si>
    <t>北京市</t>
  </si>
  <si>
    <t>坐落</t>
    <phoneticPr fontId="8" type="noConversion"/>
  </si>
  <si>
    <t>土地性质</t>
    <phoneticPr fontId="8" type="noConversion"/>
  </si>
  <si>
    <t>用途</t>
    <phoneticPr fontId="8" type="noConversion"/>
  </si>
  <si>
    <t>住宅</t>
    <phoneticPr fontId="8" type="noConversion"/>
  </si>
  <si>
    <t>商业</t>
    <phoneticPr fontId="8" type="noConversion"/>
  </si>
  <si>
    <t>办公</t>
    <phoneticPr fontId="8" type="noConversion"/>
  </si>
  <si>
    <t>车库</t>
    <phoneticPr fontId="8" type="noConversion"/>
  </si>
  <si>
    <t>仓储</t>
    <phoneticPr fontId="8" type="noConversion"/>
  </si>
  <si>
    <t>工业</t>
    <phoneticPr fontId="8" type="noConversion"/>
  </si>
  <si>
    <t>终止日期</t>
    <phoneticPr fontId="8" type="noConversion"/>
  </si>
  <si>
    <t>出让年限</t>
    <phoneticPr fontId="8" type="noConversion"/>
  </si>
  <si>
    <t>剩余年限</t>
    <phoneticPr fontId="8" type="noConversion"/>
  </si>
  <si>
    <t>面积指标</t>
    <phoneticPr fontId="8" type="noConversion"/>
  </si>
  <si>
    <t>建筑面积</t>
    <phoneticPr fontId="8" type="noConversion"/>
  </si>
  <si>
    <t>面积依据</t>
    <phoneticPr fontId="8" type="noConversion"/>
  </si>
  <si>
    <t>土地面积</t>
    <phoneticPr fontId="8" type="noConversion"/>
  </si>
  <si>
    <t>权利状况（抵押）</t>
    <phoneticPr fontId="8" type="noConversion"/>
  </si>
  <si>
    <t>是否抵押</t>
    <phoneticPr fontId="8" type="noConversion"/>
  </si>
  <si>
    <t>权属证件是否登记权利价值</t>
    <phoneticPr fontId="8" type="noConversion"/>
  </si>
  <si>
    <t>依据</t>
    <phoneticPr fontId="8" type="noConversion"/>
  </si>
  <si>
    <t>权属文件</t>
    <phoneticPr fontId="8" type="noConversion"/>
  </si>
  <si>
    <t>他项权证</t>
    <phoneticPr fontId="8" type="noConversion"/>
  </si>
  <si>
    <t>其他资料</t>
    <phoneticPr fontId="8" type="noConversion"/>
  </si>
  <si>
    <t>抵押情况描述</t>
    <phoneticPr fontId="8" type="noConversion"/>
  </si>
  <si>
    <t>原件</t>
  </si>
  <si>
    <t>《国有土地使用权》</t>
  </si>
  <si>
    <t>抵押信息</t>
    <phoneticPr fontId="8" type="noConversion"/>
  </si>
  <si>
    <t>设定日期</t>
    <phoneticPr fontId="8" type="noConversion"/>
  </si>
  <si>
    <t>权利人</t>
    <phoneticPr fontId="8" type="noConversion"/>
  </si>
  <si>
    <t>权利范围</t>
    <phoneticPr fontId="8" type="noConversion"/>
  </si>
  <si>
    <t>权利价值</t>
    <phoneticPr fontId="8" type="noConversion"/>
  </si>
  <si>
    <t>红线外市政</t>
    <phoneticPr fontId="8" type="noConversion"/>
  </si>
  <si>
    <t>一通</t>
    <phoneticPr fontId="8" type="noConversion"/>
  </si>
  <si>
    <t>二通</t>
    <phoneticPr fontId="8" type="noConversion"/>
  </si>
  <si>
    <t>三通</t>
    <phoneticPr fontId="8" type="noConversion"/>
  </si>
  <si>
    <t>四通</t>
    <phoneticPr fontId="8" type="noConversion"/>
  </si>
  <si>
    <t>五通</t>
    <phoneticPr fontId="8" type="noConversion"/>
  </si>
  <si>
    <t>六通</t>
    <phoneticPr fontId="8" type="noConversion"/>
  </si>
  <si>
    <t>七通</t>
    <phoneticPr fontId="8" type="noConversion"/>
  </si>
  <si>
    <t>估价对象</t>
    <phoneticPr fontId="8" type="noConversion"/>
  </si>
  <si>
    <t>优先受偿</t>
    <phoneticPr fontId="8" type="noConversion"/>
  </si>
  <si>
    <t>抵押</t>
    <phoneticPr fontId="8" type="noConversion"/>
  </si>
  <si>
    <t>2.估价师所知悉的法定优先受偿款</t>
    <phoneticPr fontId="8" type="noConversion"/>
  </si>
  <si>
    <t>2.估价师所知悉的除抵押担保权以外的法定优先受偿款</t>
    <phoneticPr fontId="8" type="noConversion"/>
  </si>
  <si>
    <t>价值类型及定义</t>
    <phoneticPr fontId="8" type="noConversion"/>
  </si>
  <si>
    <t>已注销</t>
    <phoneticPr fontId="8" type="noConversion"/>
  </si>
  <si>
    <t>已注销及未注销</t>
    <phoneticPr fontId="8" type="noConversion"/>
  </si>
  <si>
    <t>抵押净值</t>
    <phoneticPr fontId="8" type="noConversion"/>
  </si>
  <si>
    <t>——</t>
    <phoneticPr fontId="19" type="noConversion"/>
  </si>
  <si>
    <t>估价期日</t>
    <phoneticPr fontId="8" type="noConversion"/>
  </si>
  <si>
    <t>市场价格</t>
    <phoneticPr fontId="8" type="noConversion"/>
  </si>
  <si>
    <t>抵押价格</t>
    <phoneticPr fontId="8" type="noConversion"/>
  </si>
  <si>
    <t>《建设工程规划许可证》[]、《出让合同》[]</t>
    <phoneticPr fontId="8" type="noConversion"/>
  </si>
  <si>
    <t>项目所在城市</t>
    <phoneticPr fontId="11" type="noConversion"/>
  </si>
  <si>
    <t>不动产权利人</t>
    <phoneticPr fontId="11" type="noConversion"/>
  </si>
  <si>
    <t>项目类型</t>
    <phoneticPr fontId="11" type="noConversion"/>
  </si>
  <si>
    <t>按主用途</t>
    <phoneticPr fontId="11" type="noConversion"/>
  </si>
  <si>
    <t>特殊细项</t>
    <phoneticPr fontId="11" type="noConversion"/>
  </si>
  <si>
    <t>是否配建</t>
    <phoneticPr fontId="11" type="noConversion"/>
  </si>
  <si>
    <t>配建类型</t>
    <phoneticPr fontId="11" type="noConversion"/>
  </si>
  <si>
    <t>证件取得及他项权利状况</t>
    <phoneticPr fontId="11" type="noConversion"/>
  </si>
  <si>
    <t>地块编号</t>
    <phoneticPr fontId="8" type="noConversion"/>
  </si>
  <si>
    <t>建设内容/楼号</t>
    <phoneticPr fontId="8" type="noConversion"/>
  </si>
  <si>
    <t>出让合同</t>
    <phoneticPr fontId="8" type="noConversion"/>
  </si>
  <si>
    <t>用地规划</t>
    <phoneticPr fontId="8" type="noConversion"/>
  </si>
  <si>
    <t>规划意见复函</t>
    <phoneticPr fontId="8" type="noConversion"/>
  </si>
  <si>
    <t>工程规划</t>
    <phoneticPr fontId="8" type="noConversion"/>
  </si>
  <si>
    <t>施工证</t>
    <phoneticPr fontId="8" type="noConversion"/>
  </si>
  <si>
    <t>预售证</t>
    <phoneticPr fontId="8" type="noConversion"/>
  </si>
  <si>
    <t>竣工备案</t>
    <phoneticPr fontId="8" type="noConversion"/>
  </si>
  <si>
    <t>测绘报告</t>
    <phoneticPr fontId="8" type="noConversion"/>
  </si>
  <si>
    <t>现状</t>
    <phoneticPr fontId="11" type="noConversion"/>
  </si>
  <si>
    <t>用地性质/土地用途</t>
    <phoneticPr fontId="11" type="noConversion"/>
  </si>
  <si>
    <t>不动产权证书</t>
    <phoneticPr fontId="11" type="noConversion"/>
  </si>
  <si>
    <t>国土证</t>
    <phoneticPr fontId="8" type="noConversion"/>
  </si>
  <si>
    <t>房产证</t>
    <phoneticPr fontId="8" type="noConversion"/>
  </si>
  <si>
    <t>他项权利——抵押</t>
    <phoneticPr fontId="8" type="noConversion"/>
  </si>
  <si>
    <t>他项权利——租赁</t>
    <phoneticPr fontId="11" type="noConversion"/>
  </si>
  <si>
    <t>他项权利——其他</t>
    <phoneticPr fontId="11" type="noConversion"/>
  </si>
  <si>
    <t>地价定义：</t>
    <phoneticPr fontId="8" type="noConversion"/>
  </si>
  <si>
    <t>估价期日：</t>
    <phoneticPr fontId="8" type="noConversion"/>
  </si>
  <si>
    <t>估价结果：</t>
    <phoneticPr fontId="8" type="noConversion"/>
  </si>
  <si>
    <t>（转下页）</t>
    <phoneticPr fontId="142"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</si>
  <si>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</si>
  <si>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</si>
  <si>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</si>
  <si>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</si>
  <si>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</si>
  <si>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</si>
  <si>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</si>
  <si>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</si>
  <si>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</si>
  <si>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42" type="noConversion"/>
  </si>
  <si>
    <t>估价机构：北京康正宏基房地产评估有限公司</t>
  </si>
  <si>
    <t>估价机构：北京康正宏基房地产评估有限公司</t>
    <phoneticPr fontId="142" type="noConversion"/>
  </si>
  <si>
    <t>币种：人民币</t>
    <phoneticPr fontId="142" type="noConversion"/>
  </si>
  <si>
    <t>证载（或批准）</t>
    <phoneticPr fontId="142" type="noConversion"/>
  </si>
  <si>
    <t>单位面积地价/元/㎡</t>
    <phoneticPr fontId="142" type="noConversion"/>
  </si>
  <si>
    <t>二、其他需要说明的事项：</t>
    <phoneticPr fontId="142" type="noConversion"/>
  </si>
  <si>
    <t>土地估价师：</t>
    <phoneticPr fontId="8" type="noConversion"/>
  </si>
  <si>
    <t>委托估价方：</t>
    <phoneticPr fontId="8" type="noConversion"/>
  </si>
  <si>
    <t>受托估价单位：</t>
    <phoneticPr fontId="8" type="noConversion"/>
  </si>
  <si>
    <t>土地估价报告编号：</t>
    <phoneticPr fontId="8" type="noConversion"/>
  </si>
  <si>
    <t>地价定义</t>
    <phoneticPr fontId="19" type="noConversion"/>
  </si>
  <si>
    <t>用途</t>
    <phoneticPr fontId="19"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</si>
  <si>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9"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</si>
  <si>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9" type="noConversion"/>
  </si>
  <si>
    <t>——</t>
    <phoneticPr fontId="142" type="noConversion"/>
  </si>
  <si>
    <t>宗地内平整情况设定为：</t>
    <phoneticPr fontId="11" type="noConversion"/>
  </si>
  <si>
    <t>估价结果（过程）</t>
    <phoneticPr fontId="147" type="noConversion"/>
  </si>
  <si>
    <t>估价对象范围</t>
    <phoneticPr fontId="147" type="noConversion"/>
  </si>
  <si>
    <t>估价对象状态</t>
    <phoneticPr fontId="147" type="noConversion"/>
  </si>
  <si>
    <t>证载土地用途</t>
    <phoneticPr fontId="11" type="noConversion"/>
  </si>
  <si>
    <t>设定用途</t>
    <phoneticPr fontId="11" type="noConversion"/>
  </si>
  <si>
    <t>设定估价对象土地年限</t>
    <phoneticPr fontId="11" type="noConversion"/>
  </si>
  <si>
    <t>依据</t>
    <phoneticPr fontId="11" type="noConversion"/>
  </si>
  <si>
    <t>设定用途与证载土地用途</t>
    <phoneticPr fontId="11" type="noConversion"/>
  </si>
  <si>
    <t>规划建筑面积/㎡</t>
  </si>
  <si>
    <t>楼面地价/元/㎡</t>
  </si>
  <si>
    <t>一、上述估价结果的限定条件</t>
    <phoneticPr fontId="142" type="noConversion"/>
  </si>
  <si>
    <t>4.影响价格的其他限定条件：无。</t>
    <phoneticPr fontId="142" type="noConversion"/>
  </si>
  <si>
    <r>
      <t>1.</t>
    </r>
    <r>
      <rPr>
        <b/>
        <sz val="11"/>
        <color indexed="8"/>
        <rFont val="仿宋_GB2312"/>
        <family val="3"/>
        <charset val="134"/>
      </rPr>
      <t>土地价格</t>
    </r>
    <phoneticPr fontId="13"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</si>
  <si>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42" type="noConversion"/>
  </si>
  <si>
    <r>
      <rPr>
        <sz val="10"/>
        <color indexed="8"/>
        <rFont val="宋体"/>
        <family val="3"/>
        <charset val="134"/>
      </rPr>
      <t>（</t>
    </r>
    <r>
      <rPr>
        <sz val="10"/>
        <color indexed="8"/>
        <rFont val="Arial"/>
        <family val="2"/>
      </rPr>
      <t>1</t>
    </r>
    <r>
      <rPr>
        <sz val="10"/>
        <color indexed="8"/>
        <rFont val="宋体"/>
        <family val="3"/>
        <charset val="134"/>
      </rPr>
      <t>）</t>
    </r>
    <phoneticPr fontId="8" type="noConversion"/>
  </si>
  <si>
    <r>
      <rPr>
        <sz val="10"/>
        <color indexed="8"/>
        <rFont val="宋体"/>
        <family val="3"/>
        <charset val="134"/>
      </rPr>
      <t>（</t>
    </r>
    <r>
      <rPr>
        <sz val="10"/>
        <color indexed="8"/>
        <rFont val="Arial"/>
        <family val="2"/>
      </rPr>
      <t>2</t>
    </r>
    <r>
      <rPr>
        <sz val="10"/>
        <color indexed="8"/>
        <rFont val="宋体"/>
        <family val="3"/>
        <charset val="134"/>
      </rPr>
      <t>）</t>
    </r>
    <phoneticPr fontId="8" type="noConversion"/>
  </si>
  <si>
    <t>1.用途：</t>
    <phoneticPr fontId="8" type="noConversion"/>
  </si>
  <si>
    <t>2.土地开发程度</t>
    <phoneticPr fontId="142" type="noConversion"/>
  </si>
  <si>
    <t>3.规划利用条件</t>
    <phoneticPr fontId="142" type="noConversion"/>
  </si>
  <si>
    <t>4.土地使用年限</t>
    <phoneticPr fontId="142" type="noConversion"/>
  </si>
  <si>
    <t>5.地价定义</t>
    <phoneticPr fontId="142" type="noConversion"/>
  </si>
  <si>
    <t>车位数</t>
    <phoneticPr fontId="32" type="noConversion"/>
  </si>
  <si>
    <t>成交单价</t>
    <phoneticPr fontId="8" type="noConversion"/>
  </si>
  <si>
    <t>元/平方米</t>
  </si>
  <si>
    <t>北京市区片基准地价因素总修正幅度表</t>
    <phoneticPr fontId="8" type="noConversion"/>
  </si>
  <si>
    <t>商业</t>
    <phoneticPr fontId="8" type="noConversion"/>
  </si>
  <si>
    <t>办公</t>
    <phoneticPr fontId="8" type="noConversion"/>
  </si>
  <si>
    <t>住宅</t>
    <phoneticPr fontId="8" type="noConversion"/>
  </si>
  <si>
    <t>工业</t>
    <phoneticPr fontId="8" type="noConversion"/>
  </si>
  <si>
    <t>级别</t>
    <phoneticPr fontId="8" type="noConversion"/>
  </si>
  <si>
    <t>区片编号</t>
    <phoneticPr fontId="8" type="noConversion"/>
  </si>
  <si>
    <t>一级</t>
    <phoneticPr fontId="8" type="noConversion"/>
  </si>
  <si>
    <t>Ⅰ—01</t>
    <phoneticPr fontId="8" type="noConversion"/>
  </si>
  <si>
    <t>Ⅰ—02</t>
    <phoneticPr fontId="8" type="noConversion"/>
  </si>
  <si>
    <t>Ⅱ—01</t>
    <phoneticPr fontId="8" type="noConversion"/>
  </si>
  <si>
    <t>Ⅱ—13</t>
    <phoneticPr fontId="8" type="noConversion"/>
  </si>
  <si>
    <t>Ⅲ—01</t>
    <phoneticPr fontId="8" type="noConversion"/>
  </si>
  <si>
    <t>Ⅳ-01</t>
    <phoneticPr fontId="8" type="noConversion"/>
  </si>
  <si>
    <t>Ⅳ-电子城东</t>
    <phoneticPr fontId="8" type="noConversion"/>
  </si>
  <si>
    <t>Ⅳ-电子城西</t>
    <phoneticPr fontId="8" type="noConversion"/>
  </si>
  <si>
    <t>Ⅳ-上地核心</t>
    <phoneticPr fontId="8" type="noConversion"/>
  </si>
  <si>
    <t>Ⅳ-丰台园东</t>
    <phoneticPr fontId="8" type="noConversion"/>
  </si>
  <si>
    <t>Ⅴ-01</t>
    <phoneticPr fontId="8" type="noConversion"/>
  </si>
  <si>
    <t>Ⅴ-电子城北</t>
    <phoneticPr fontId="8" type="noConversion"/>
  </si>
  <si>
    <t>Ⅴ-永丰产业基地</t>
    <phoneticPr fontId="8" type="noConversion"/>
  </si>
  <si>
    <t>Ⅴ-航天城</t>
    <phoneticPr fontId="8" type="noConversion"/>
  </si>
  <si>
    <r>
      <t>Ⅴ-西北旺</t>
    </r>
    <r>
      <rPr>
        <sz val="10"/>
        <color indexed="8"/>
        <rFont val="宋体"/>
        <family val="3"/>
        <charset val="134"/>
      </rPr>
      <t>Ⅰ</t>
    </r>
    <phoneticPr fontId="8" type="noConversion"/>
  </si>
  <si>
    <r>
      <t>Ⅴ-西北旺</t>
    </r>
    <r>
      <rPr>
        <sz val="10"/>
        <color indexed="8"/>
        <rFont val="宋体"/>
        <family val="3"/>
        <charset val="134"/>
      </rPr>
      <t>Ⅱ</t>
    </r>
    <phoneticPr fontId="8" type="noConversion"/>
  </si>
  <si>
    <t>Ⅴ-石景山园南区</t>
    <phoneticPr fontId="8" type="noConversion"/>
  </si>
  <si>
    <r>
      <t>Ⅴ-石景山园北</t>
    </r>
    <r>
      <rPr>
        <sz val="10"/>
        <color indexed="8"/>
        <rFont val="宋体"/>
        <family val="3"/>
        <charset val="134"/>
      </rPr>
      <t>Ⅰ</t>
    </r>
    <phoneticPr fontId="8" type="noConversion"/>
  </si>
  <si>
    <r>
      <t>Ⅴ-石景山园北</t>
    </r>
    <r>
      <rPr>
        <sz val="10"/>
        <color indexed="8"/>
        <rFont val="宋体"/>
        <family val="3"/>
        <charset val="134"/>
      </rPr>
      <t>Ⅱ</t>
    </r>
    <phoneticPr fontId="8" type="noConversion"/>
  </si>
  <si>
    <t>Ⅵ-01</t>
    <phoneticPr fontId="8" type="noConversion"/>
  </si>
  <si>
    <t>Ⅵ-通1</t>
    <phoneticPr fontId="8" type="noConversion"/>
  </si>
  <si>
    <t>Ⅵ-顺1</t>
    <phoneticPr fontId="8" type="noConversion"/>
  </si>
  <si>
    <t>Ⅵ-兴1</t>
    <phoneticPr fontId="8" type="noConversion"/>
  </si>
  <si>
    <t>Ⅵ-昌1</t>
    <phoneticPr fontId="8" type="noConversion"/>
  </si>
  <si>
    <t>Ⅵ-亦1</t>
    <phoneticPr fontId="8" type="noConversion"/>
  </si>
  <si>
    <t>Ⅵ-创新园</t>
    <phoneticPr fontId="8" type="noConversion"/>
  </si>
  <si>
    <t>Ⅵ-海淀环保园</t>
    <phoneticPr fontId="8" type="noConversion"/>
  </si>
  <si>
    <r>
      <t>Ⅵ-温泉科技</t>
    </r>
    <r>
      <rPr>
        <sz val="10"/>
        <color indexed="8"/>
        <rFont val="宋体"/>
        <family val="3"/>
        <charset val="134"/>
      </rPr>
      <t>Ⅰ</t>
    </r>
    <phoneticPr fontId="8" type="noConversion"/>
  </si>
  <si>
    <r>
      <t>Ⅵ-温泉科技</t>
    </r>
    <r>
      <rPr>
        <sz val="10"/>
        <color indexed="8"/>
        <rFont val="宋体"/>
        <family val="3"/>
        <charset val="134"/>
      </rPr>
      <t>Ⅱ</t>
    </r>
    <phoneticPr fontId="8" type="noConversion"/>
  </si>
  <si>
    <r>
      <t>Ⅵ-温泉科技</t>
    </r>
    <r>
      <rPr>
        <sz val="10"/>
        <color indexed="8"/>
        <rFont val="宋体"/>
        <family val="3"/>
        <charset val="134"/>
      </rPr>
      <t>Ⅲ</t>
    </r>
    <phoneticPr fontId="8" type="noConversion"/>
  </si>
  <si>
    <t>Ⅵ-天竺保税区南</t>
    <phoneticPr fontId="8" type="noConversion"/>
  </si>
  <si>
    <t>Ⅵ-天竺保税区北1</t>
    <phoneticPr fontId="8" type="noConversion"/>
  </si>
  <si>
    <t>Ⅵ-空港A</t>
    <phoneticPr fontId="8" type="noConversion"/>
  </si>
  <si>
    <t>Ⅵ-空港B</t>
    <phoneticPr fontId="8" type="noConversion"/>
  </si>
  <si>
    <t>Ⅵ-生命科学园</t>
    <phoneticPr fontId="8" type="noConversion"/>
  </si>
  <si>
    <t>Ⅵ-昌三一光电</t>
    <phoneticPr fontId="8" type="noConversion"/>
  </si>
  <si>
    <t>Ⅵ-BDA核心</t>
    <phoneticPr fontId="8" type="noConversion"/>
  </si>
  <si>
    <t>Ⅶ-01</t>
    <phoneticPr fontId="8" type="noConversion"/>
  </si>
  <si>
    <t>Ⅶ-门1</t>
    <phoneticPr fontId="8" type="noConversion"/>
  </si>
  <si>
    <t>Ⅶ-房1</t>
    <phoneticPr fontId="8" type="noConversion"/>
  </si>
  <si>
    <t>Ⅶ-通1</t>
    <phoneticPr fontId="8" type="noConversion"/>
  </si>
  <si>
    <t>Ⅶ-顺1</t>
    <phoneticPr fontId="8" type="noConversion"/>
  </si>
  <si>
    <t>Ⅶ-兴1</t>
    <phoneticPr fontId="8" type="noConversion"/>
  </si>
  <si>
    <t>Ⅶ-昌1</t>
    <phoneticPr fontId="8" type="noConversion"/>
  </si>
  <si>
    <t>Ⅶ-亦1</t>
    <phoneticPr fontId="8" type="noConversion"/>
  </si>
  <si>
    <t>Ⅶ-国际教育园</t>
    <phoneticPr fontId="8" type="noConversion"/>
  </si>
  <si>
    <t>Ⅶ-农林园</t>
    <phoneticPr fontId="8" type="noConversion"/>
  </si>
  <si>
    <t>Ⅶ-上庄科技</t>
    <phoneticPr fontId="8" type="noConversion"/>
  </si>
  <si>
    <t>Ⅶ-文化教育基地</t>
    <phoneticPr fontId="8" type="noConversion"/>
  </si>
  <si>
    <r>
      <t>Ⅶ-苏家坨科技</t>
    </r>
    <r>
      <rPr>
        <sz val="10"/>
        <color indexed="8"/>
        <rFont val="宋体"/>
        <family val="3"/>
        <charset val="134"/>
      </rPr>
      <t>Ⅰ</t>
    </r>
    <phoneticPr fontId="8" type="noConversion"/>
  </si>
  <si>
    <r>
      <t>Ⅶ-苏家坨科技</t>
    </r>
    <r>
      <rPr>
        <sz val="10"/>
        <color indexed="8"/>
        <rFont val="宋体"/>
        <family val="3"/>
        <charset val="134"/>
      </rPr>
      <t>Ⅱ</t>
    </r>
    <phoneticPr fontId="8" type="noConversion"/>
  </si>
  <si>
    <r>
      <t>Ⅶ-丰台园西</t>
    </r>
    <r>
      <rPr>
        <sz val="10"/>
        <color indexed="8"/>
        <rFont val="宋体"/>
        <family val="3"/>
        <charset val="134"/>
      </rPr>
      <t>Ⅰ</t>
    </r>
    <phoneticPr fontId="8" type="noConversion"/>
  </si>
  <si>
    <r>
      <t>Ⅶ-丰台园西</t>
    </r>
    <r>
      <rPr>
        <sz val="10"/>
        <color indexed="8"/>
        <rFont val="宋体"/>
        <family val="3"/>
        <charset val="134"/>
      </rPr>
      <t>Ⅱ</t>
    </r>
    <phoneticPr fontId="8" type="noConversion"/>
  </si>
  <si>
    <t>Ⅶ-石龙开发区</t>
    <phoneticPr fontId="8" type="noConversion"/>
  </si>
  <si>
    <t>Ⅶ-光机电</t>
    <phoneticPr fontId="8" type="noConversion"/>
  </si>
  <si>
    <t>Ⅶ-通州开发区西</t>
    <phoneticPr fontId="8" type="noConversion"/>
  </si>
  <si>
    <t>Ⅶ-林河开发区</t>
    <phoneticPr fontId="8" type="noConversion"/>
  </si>
  <si>
    <t>Ⅶ-大兴开发区</t>
    <phoneticPr fontId="8" type="noConversion"/>
  </si>
  <si>
    <r>
      <t>Ⅶ-昌平园南</t>
    </r>
    <r>
      <rPr>
        <sz val="10"/>
        <color indexed="8"/>
        <rFont val="宋体"/>
        <family val="3"/>
        <charset val="134"/>
      </rPr>
      <t>Ⅰ</t>
    </r>
    <phoneticPr fontId="8" type="noConversion"/>
  </si>
  <si>
    <r>
      <t>Ⅶ-昌平园南</t>
    </r>
    <r>
      <rPr>
        <sz val="10"/>
        <color indexed="8"/>
        <rFont val="宋体"/>
        <family val="3"/>
        <charset val="134"/>
      </rPr>
      <t>Ⅱ</t>
    </r>
    <phoneticPr fontId="8" type="noConversion"/>
  </si>
  <si>
    <r>
      <t>Ⅶ-昌平园北</t>
    </r>
    <r>
      <rPr>
        <sz val="10"/>
        <color indexed="8"/>
        <rFont val="宋体"/>
        <family val="3"/>
        <charset val="134"/>
      </rPr>
      <t>Ⅰ</t>
    </r>
    <phoneticPr fontId="8" type="noConversion"/>
  </si>
  <si>
    <r>
      <t>Ⅶ-昌平园北</t>
    </r>
    <r>
      <rPr>
        <sz val="10"/>
        <color indexed="8"/>
        <rFont val="宋体"/>
        <family val="3"/>
        <charset val="134"/>
      </rPr>
      <t>Ⅱ</t>
    </r>
    <phoneticPr fontId="8" type="noConversion"/>
  </si>
  <si>
    <r>
      <t>Ⅶ-昌平园北</t>
    </r>
    <r>
      <rPr>
        <sz val="10"/>
        <color indexed="8"/>
        <rFont val="宋体"/>
        <family val="3"/>
        <charset val="134"/>
      </rPr>
      <t>Ⅲ</t>
    </r>
    <phoneticPr fontId="8" type="noConversion"/>
  </si>
  <si>
    <t>Ⅶ-BDA东</t>
    <phoneticPr fontId="8" type="noConversion"/>
  </si>
  <si>
    <t>Ⅶ-BDA西</t>
    <phoneticPr fontId="8" type="noConversion"/>
  </si>
  <si>
    <t>Ⅷ-01</t>
    <phoneticPr fontId="8" type="noConversion"/>
  </si>
  <si>
    <t>Ⅷ-门1</t>
    <phoneticPr fontId="8" type="noConversion"/>
  </si>
  <si>
    <t>Ⅷ-门军</t>
    <phoneticPr fontId="8" type="noConversion"/>
  </si>
  <si>
    <t>Ⅷ-房1</t>
    <phoneticPr fontId="8" type="noConversion"/>
  </si>
  <si>
    <t>Ⅷ-通1</t>
    <phoneticPr fontId="8" type="noConversion"/>
  </si>
  <si>
    <t>Ⅷ-顺1</t>
    <phoneticPr fontId="8" type="noConversion"/>
  </si>
  <si>
    <t>Ⅷ-顺3</t>
    <phoneticPr fontId="8" type="noConversion"/>
  </si>
  <si>
    <t>Ⅷ-兴1</t>
    <phoneticPr fontId="8" type="noConversion"/>
  </si>
  <si>
    <t>Ⅷ-昌1</t>
    <phoneticPr fontId="8" type="noConversion"/>
  </si>
  <si>
    <t>Ⅷ-平1</t>
    <phoneticPr fontId="8" type="noConversion"/>
  </si>
  <si>
    <t>Ⅷ-怀1</t>
    <phoneticPr fontId="8" type="noConversion"/>
  </si>
  <si>
    <t>Ⅷ-密1</t>
    <phoneticPr fontId="8" type="noConversion"/>
  </si>
  <si>
    <t>Ⅷ-廷1</t>
    <phoneticPr fontId="8" type="noConversion"/>
  </si>
  <si>
    <t>Ⅷ-亦1</t>
    <phoneticPr fontId="8" type="noConversion"/>
  </si>
  <si>
    <t>Ⅷ-良乡开发区A</t>
    <phoneticPr fontId="8" type="noConversion"/>
  </si>
  <si>
    <t>Ⅷ-良乡开发区B</t>
    <phoneticPr fontId="8" type="noConversion"/>
  </si>
  <si>
    <t>Ⅷ-良乡开发区C</t>
    <phoneticPr fontId="8" type="noConversion"/>
  </si>
  <si>
    <t>Ⅷ-通州环保园</t>
    <phoneticPr fontId="8" type="noConversion"/>
  </si>
  <si>
    <t>Ⅷ-空港北区A</t>
    <phoneticPr fontId="8" type="noConversion"/>
  </si>
  <si>
    <t>Ⅷ-空港北区B</t>
    <phoneticPr fontId="8" type="noConversion"/>
  </si>
  <si>
    <t>Ⅷ-生物医药基地</t>
    <phoneticPr fontId="8" type="noConversion"/>
  </si>
  <si>
    <t>Ⅷ-小汤山工业园</t>
    <phoneticPr fontId="8" type="noConversion"/>
  </si>
  <si>
    <t>Ⅸ-01</t>
    <phoneticPr fontId="8" type="noConversion"/>
  </si>
  <si>
    <t>Ⅸ-门1</t>
    <phoneticPr fontId="8" type="noConversion"/>
  </si>
  <si>
    <t>Ⅸ-门2</t>
    <phoneticPr fontId="8" type="noConversion"/>
  </si>
  <si>
    <t>Ⅸ-门潭</t>
    <phoneticPr fontId="8" type="noConversion"/>
  </si>
  <si>
    <t>Ⅸ-房1</t>
    <phoneticPr fontId="8" type="noConversion"/>
  </si>
  <si>
    <t>Ⅸ-通1</t>
    <phoneticPr fontId="8" type="noConversion"/>
  </si>
  <si>
    <t>Ⅸ-顺1</t>
    <phoneticPr fontId="8" type="noConversion"/>
  </si>
  <si>
    <t>Ⅸ-兴1</t>
    <phoneticPr fontId="8" type="noConversion"/>
  </si>
  <si>
    <t>Ⅸ-昌1</t>
    <phoneticPr fontId="8" type="noConversion"/>
  </si>
  <si>
    <t>Ⅸ-昌南</t>
    <phoneticPr fontId="8" type="noConversion"/>
  </si>
  <si>
    <t>Ⅸ-平1</t>
    <phoneticPr fontId="8" type="noConversion"/>
  </si>
  <si>
    <t>Ⅸ-怀1</t>
    <phoneticPr fontId="8" type="noConversion"/>
  </si>
  <si>
    <t>Ⅸ-密1</t>
    <phoneticPr fontId="8" type="noConversion"/>
  </si>
  <si>
    <t>Ⅸ-延1</t>
    <phoneticPr fontId="8" type="noConversion"/>
  </si>
  <si>
    <t>Ⅸ-亦1</t>
    <phoneticPr fontId="8" type="noConversion"/>
  </si>
  <si>
    <t>Ⅸ-房山工业园东</t>
    <phoneticPr fontId="8" type="noConversion"/>
  </si>
  <si>
    <t>Ⅸ-房山工业园西</t>
    <phoneticPr fontId="8" type="noConversion"/>
  </si>
  <si>
    <t>Ⅸ-通州开发区东</t>
    <phoneticPr fontId="8" type="noConversion"/>
  </si>
  <si>
    <t>Ⅸ-永乐开发区</t>
    <phoneticPr fontId="8" type="noConversion"/>
  </si>
  <si>
    <t>Ⅸ-采育开发区</t>
    <phoneticPr fontId="8" type="noConversion"/>
  </si>
  <si>
    <t>Ⅸ-兴谷开发区A</t>
    <phoneticPr fontId="8" type="noConversion"/>
  </si>
  <si>
    <t>Ⅸ-兴谷开发区B</t>
    <phoneticPr fontId="8" type="noConversion"/>
  </si>
  <si>
    <t>Ⅸ-雁栖开发区A</t>
    <phoneticPr fontId="8" type="noConversion"/>
  </si>
  <si>
    <t>Ⅸ-雁栖开发区B</t>
    <phoneticPr fontId="8" type="noConversion"/>
  </si>
  <si>
    <t>Ⅸ-雁栖开发区C</t>
    <phoneticPr fontId="8" type="noConversion"/>
  </si>
  <si>
    <t>Ⅸ-密云开发区</t>
    <phoneticPr fontId="8" type="noConversion"/>
  </si>
  <si>
    <t>Ⅹ-01</t>
    <phoneticPr fontId="8" type="noConversion"/>
  </si>
  <si>
    <t>Ⅹ-门1</t>
    <phoneticPr fontId="8" type="noConversion"/>
  </si>
  <si>
    <t>Ⅹ-门斋</t>
    <phoneticPr fontId="8" type="noConversion"/>
  </si>
  <si>
    <t>Ⅹ-房1</t>
    <phoneticPr fontId="8" type="noConversion"/>
  </si>
  <si>
    <t>Ⅹ-通1</t>
    <phoneticPr fontId="8" type="noConversion"/>
  </si>
  <si>
    <t>Ⅹ-顺1</t>
    <phoneticPr fontId="8" type="noConversion"/>
  </si>
  <si>
    <t>Ⅹ-兴1</t>
    <phoneticPr fontId="8" type="noConversion"/>
  </si>
  <si>
    <t>Ⅹ-昌1</t>
    <phoneticPr fontId="8" type="noConversion"/>
  </si>
  <si>
    <t>Ⅹ-平1</t>
    <phoneticPr fontId="8" type="noConversion"/>
  </si>
  <si>
    <t>Ⅹ-怀1</t>
    <phoneticPr fontId="8" type="noConversion"/>
  </si>
  <si>
    <t>Ⅹ-密1</t>
    <phoneticPr fontId="8" type="noConversion"/>
  </si>
  <si>
    <t>Ⅹ-延1</t>
    <phoneticPr fontId="8" type="noConversion"/>
  </si>
  <si>
    <t>Ⅹ-亦1</t>
    <phoneticPr fontId="8" type="noConversion"/>
  </si>
  <si>
    <t>Ⅹ-马坊工业园</t>
    <phoneticPr fontId="8" type="noConversion"/>
  </si>
  <si>
    <t>Ⅹ-延庆开发区</t>
    <phoneticPr fontId="8" type="noConversion"/>
  </si>
  <si>
    <t>Ⅹ-八达岭开发区</t>
    <phoneticPr fontId="8" type="noConversion"/>
  </si>
  <si>
    <t>十一级</t>
    <phoneticPr fontId="8" type="noConversion"/>
  </si>
  <si>
    <t>Ⅺ-门1</t>
    <phoneticPr fontId="8" type="noConversion"/>
  </si>
  <si>
    <t>Ⅺ-门斋</t>
    <phoneticPr fontId="8" type="noConversion"/>
  </si>
  <si>
    <t>Ⅺ-房1</t>
    <phoneticPr fontId="8" type="noConversion"/>
  </si>
  <si>
    <t>Ⅺ-通1</t>
    <phoneticPr fontId="8" type="noConversion"/>
  </si>
  <si>
    <t>Ⅺ-顺1</t>
    <phoneticPr fontId="8" type="noConversion"/>
  </si>
  <si>
    <t>Ⅺ-兴1</t>
    <phoneticPr fontId="8" type="noConversion"/>
  </si>
  <si>
    <t>Ⅺ-兴2</t>
    <phoneticPr fontId="8" type="noConversion"/>
  </si>
  <si>
    <t>Ⅺ-昌1</t>
    <phoneticPr fontId="8" type="noConversion"/>
  </si>
  <si>
    <t>Ⅺ-平1</t>
    <phoneticPr fontId="8" type="noConversion"/>
  </si>
  <si>
    <t>Ⅺ-怀1</t>
    <phoneticPr fontId="8" type="noConversion"/>
  </si>
  <si>
    <t>Ⅺ-密1</t>
    <phoneticPr fontId="8" type="noConversion"/>
  </si>
  <si>
    <t>Ⅺ-延1</t>
    <phoneticPr fontId="8" type="noConversion"/>
  </si>
  <si>
    <t>十二级</t>
    <phoneticPr fontId="8" type="noConversion"/>
  </si>
  <si>
    <t>Ⅻ-门1</t>
    <phoneticPr fontId="8" type="noConversion"/>
  </si>
  <si>
    <t>Ⅻ-房1</t>
    <phoneticPr fontId="8" type="noConversion"/>
  </si>
  <si>
    <t>Ⅻ-昌1</t>
    <phoneticPr fontId="8" type="noConversion"/>
  </si>
  <si>
    <t>十二级</t>
    <phoneticPr fontId="8" type="noConversion"/>
  </si>
  <si>
    <t>Ⅻ-平1</t>
    <phoneticPr fontId="8" type="noConversion"/>
  </si>
  <si>
    <t>Ⅻ-怀1</t>
    <phoneticPr fontId="8" type="noConversion"/>
  </si>
  <si>
    <t>Ⅻ-密1</t>
    <phoneticPr fontId="8" type="noConversion"/>
  </si>
  <si>
    <t>Ⅻ-延1</t>
    <phoneticPr fontId="8"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</si>
  <si>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</si>
  <si>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</si>
  <si>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</si>
  <si>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</si>
  <si>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</si>
  <si>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</si>
  <si>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</si>
  <si>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</si>
  <si>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</si>
  <si>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</si>
  <si>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</si>
  <si>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</si>
  <si>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8" type="noConversion"/>
  </si>
  <si>
    <t>幅度控制(±)</t>
    <phoneticPr fontId="8" type="noConversion"/>
  </si>
  <si>
    <t>幅度控制(±)</t>
    <phoneticPr fontId="8" type="noConversion"/>
  </si>
  <si>
    <t>幅度控制(±)</t>
    <phoneticPr fontId="8" type="noConversion"/>
  </si>
  <si>
    <t>元/平方米</t>
    <phoneticPr fontId="129" type="noConversion"/>
  </si>
  <si>
    <t>万元/亩</t>
    <phoneticPr fontId="129" type="noConversion"/>
  </si>
  <si>
    <t>楼层-1</t>
    <phoneticPr fontId="26" type="noConversion"/>
  </si>
  <si>
    <t>楼层-1</t>
    <phoneticPr fontId="8" type="noConversion"/>
  </si>
  <si>
    <t>楼层修正-2：多层及高层同时修正时的处理，以普通无电梯多层为基准</t>
    <phoneticPr fontId="8" type="noConversion"/>
  </si>
  <si>
    <t>多层</t>
    <phoneticPr fontId="8" type="noConversion"/>
  </si>
  <si>
    <t>高层</t>
    <phoneticPr fontId="8" type="noConversion"/>
  </si>
  <si>
    <t>无电梯</t>
    <phoneticPr fontId="8" type="noConversion"/>
  </si>
  <si>
    <t>增值项</t>
    <phoneticPr fontId="8" type="noConversion"/>
  </si>
  <si>
    <t>系数</t>
    <phoneticPr fontId="8" type="noConversion"/>
  </si>
  <si>
    <t>有电梯</t>
    <phoneticPr fontId="8" type="noConversion"/>
  </si>
  <si>
    <t>增值项</t>
    <phoneticPr fontId="8" type="noConversion"/>
  </si>
  <si>
    <t>系数</t>
    <phoneticPr fontId="8" type="noConversion"/>
  </si>
  <si>
    <t>楼层数/位置</t>
    <phoneticPr fontId="8" type="noConversion"/>
  </si>
  <si>
    <t>层差/系数</t>
    <phoneticPr fontId="8" type="noConversion"/>
  </si>
  <si>
    <t>露台</t>
    <phoneticPr fontId="8" type="noConversion"/>
  </si>
  <si>
    <t>露台</t>
    <phoneticPr fontId="8" type="noConversion"/>
  </si>
  <si>
    <t>总层数</t>
    <phoneticPr fontId="8" type="noConversion"/>
  </si>
  <si>
    <t>中间层</t>
    <phoneticPr fontId="8" type="noConversion"/>
  </si>
  <si>
    <t>首层</t>
    <phoneticPr fontId="8" type="noConversion"/>
  </si>
  <si>
    <t>顶层</t>
    <phoneticPr fontId="8" type="noConversion"/>
  </si>
  <si>
    <t>所在楼层</t>
    <phoneticPr fontId="8" type="noConversion"/>
  </si>
  <si>
    <t>花园</t>
    <phoneticPr fontId="8" type="noConversion"/>
  </si>
  <si>
    <t>最高最低差</t>
    <phoneticPr fontId="8" type="noConversion"/>
  </si>
  <si>
    <t>注意于无电梯多层的价值匹配</t>
    <phoneticPr fontId="8" type="noConversion"/>
  </si>
  <si>
    <t>企业提供(在右侧录入)</t>
  </si>
  <si>
    <t>单位面积地价</t>
    <phoneticPr fontId="129" type="noConversion"/>
  </si>
  <si>
    <t>对应的地上用途及土地级别（北京市）</t>
    <phoneticPr fontId="8" type="noConversion"/>
  </si>
  <si>
    <t>对应商业级别</t>
    <phoneticPr fontId="8" type="noConversion"/>
  </si>
  <si>
    <t>对应办公级别</t>
    <phoneticPr fontId="8" type="noConversion"/>
  </si>
  <si>
    <t>对应的地上用途及土地级别（北京市）</t>
  </si>
  <si>
    <t>对应商业级别</t>
  </si>
  <si>
    <t>对应办公级别</t>
  </si>
  <si>
    <t>修正体系描述方式：</t>
    <phoneticPr fontId="8"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</si>
  <si>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8" type="noConversion"/>
  </si>
  <si>
    <t>以估价对象土地价格/(1+5%)为基数记取</t>
    <phoneticPr fontId="20"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</si>
  <si>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9" type="noConversion"/>
  </si>
  <si>
    <t>按在建建筑物或建筑物价值(1+5%)的一定比率</t>
    <phoneticPr fontId="46"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</si>
  <si>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8" type="noConversion"/>
  </si>
  <si>
    <t>政府土地出让收益比例</t>
    <phoneticPr fontId="8" type="noConversion"/>
  </si>
  <si>
    <t>-</t>
    <phoneticPr fontId="8" type="noConversion"/>
  </si>
  <si>
    <t>承租人权益价值</t>
    <phoneticPr fontId="8" type="noConversion"/>
  </si>
  <si>
    <t>市场租金</t>
    <phoneticPr fontId="8"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</si>
  <si>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8"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</si>
  <si>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8"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</si>
  <si>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8"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</si>
  <si>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8" type="noConversion"/>
  </si>
  <si>
    <t>不动产总价</t>
    <phoneticPr fontId="8"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</si>
  <si>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8" type="noConversion"/>
  </si>
  <si>
    <r>
      <rPr>
        <sz val="10"/>
        <color indexed="8"/>
        <rFont val="楷体_GB2312"/>
        <family val="3"/>
        <charset val="134"/>
      </rPr>
      <t>修正项</t>
    </r>
    <phoneticPr fontId="8" type="noConversion"/>
  </si>
  <si>
    <r>
      <rPr>
        <sz val="10"/>
        <color indexed="8"/>
        <rFont val="楷体_GB2312"/>
        <family val="3"/>
        <charset val="134"/>
      </rPr>
      <t>说明</t>
    </r>
    <phoneticPr fontId="8" type="noConversion"/>
  </si>
  <si>
    <r>
      <rPr>
        <sz val="10"/>
        <color indexed="8"/>
        <rFont val="楷体_GB2312"/>
        <family val="3"/>
        <charset val="134"/>
      </rPr>
      <t>修正系数</t>
    </r>
    <phoneticPr fontId="8" type="noConversion"/>
  </si>
  <si>
    <r>
      <rPr>
        <sz val="10"/>
        <color indexed="8"/>
        <rFont val="楷体_GB2312"/>
        <family val="3"/>
        <charset val="134"/>
      </rPr>
      <t>建筑面积</t>
    </r>
    <phoneticPr fontId="8" type="noConversion"/>
  </si>
  <si>
    <t>修正系数</t>
    <phoneticPr fontId="8" type="noConversion"/>
  </si>
  <si>
    <t>楼层</t>
    <phoneticPr fontId="8" type="noConversion"/>
  </si>
  <si>
    <t>土地面积</t>
    <phoneticPr fontId="12" type="noConversion"/>
  </si>
  <si>
    <t>建筑面积</t>
    <phoneticPr fontId="12" type="noConversion"/>
  </si>
  <si>
    <t>面积加总（含分摊非经营）</t>
    <phoneticPr fontId="12" type="noConversion"/>
  </si>
  <si>
    <t>按面积比例</t>
  </si>
  <si>
    <t>项目类型</t>
    <phoneticPr fontId="12" type="noConversion"/>
  </si>
  <si>
    <t>设备及其他</t>
  </si>
  <si>
    <t>公共配套</t>
  </si>
  <si>
    <t>公共配套及物业（住宅）</t>
    <phoneticPr fontId="8" type="noConversion"/>
  </si>
  <si>
    <t>公共配套设施</t>
    <phoneticPr fontId="8" type="noConversion"/>
  </si>
  <si>
    <t>物业管理用房</t>
    <phoneticPr fontId="8" type="noConversion"/>
  </si>
  <si>
    <t>设备及其他</t>
    <phoneticPr fontId="8" type="noConversion"/>
  </si>
  <si>
    <t>公共配套及物业（住宅）</t>
    <phoneticPr fontId="12" type="noConversion"/>
  </si>
  <si>
    <t>住宅用房合计</t>
    <phoneticPr fontId="12" type="noConversion"/>
  </si>
  <si>
    <t>总计</t>
    <phoneticPr fontId="12" type="noConversion"/>
  </si>
  <si>
    <t>车位数/套数/收益面积</t>
    <phoneticPr fontId="8" type="noConversion"/>
  </si>
  <si>
    <t>项目类型</t>
    <phoneticPr fontId="9" type="noConversion"/>
  </si>
  <si>
    <t>《不动产权证书》</t>
  </si>
  <si>
    <t>复印件</t>
  </si>
  <si>
    <t>地下办公（含物业）</t>
    <phoneticPr fontId="12" type="noConversion"/>
  </si>
  <si>
    <t>地下办公（含物业）</t>
    <phoneticPr fontId="19" type="noConversion"/>
  </si>
  <si>
    <t>（住宅、计出让金）</t>
    <phoneticPr fontId="8" type="noConversion"/>
  </si>
  <si>
    <t>（住宅）</t>
    <phoneticPr fontId="8" type="noConversion"/>
  </si>
  <si>
    <r>
      <rPr>
        <sz val="10"/>
        <color indexed="8"/>
        <rFont val="仿宋_GB2312"/>
        <family val="3"/>
        <charset val="134"/>
      </rPr>
      <t>物业管理用房</t>
    </r>
    <phoneticPr fontId="8" type="noConversion"/>
  </si>
  <si>
    <t>计容部位</t>
    <phoneticPr fontId="8" type="noConversion"/>
  </si>
  <si>
    <r>
      <rPr>
        <sz val="10"/>
        <color theme="1"/>
        <rFont val="仿宋_GB2312"/>
        <family val="3"/>
        <charset val="134"/>
      </rPr>
      <t>计容建筑面积</t>
    </r>
    <phoneticPr fontId="8" type="noConversion"/>
  </si>
  <si>
    <r>
      <t>地下车库</t>
    </r>
    <r>
      <rPr>
        <sz val="9"/>
        <color indexed="8"/>
        <rFont val="仿宋_GB2312"/>
        <family val="3"/>
        <charset val="134"/>
      </rPr>
      <t>（除商业、办公）</t>
    </r>
    <phoneticPr fontId="12" type="noConversion"/>
  </si>
  <si>
    <t>包含未完成的红线外市政工程时间（如现状三通，开发完成后七通）</t>
    <phoneticPr fontId="8" type="noConversion"/>
  </si>
  <si>
    <t>默认为已完成的土地开发期</t>
    <phoneticPr fontId="8"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</si>
  <si>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8"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</si>
  <si>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8"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</si>
  <si>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8" type="noConversion"/>
  </si>
  <si>
    <t>总额</t>
    <phoneticPr fontId="8"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</si>
  <si>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8" type="noConversion"/>
  </si>
  <si>
    <r>
      <rPr>
        <sz val="11"/>
        <color theme="1"/>
        <rFont val="楷体_GB2312"/>
        <family val="3"/>
        <charset val="134"/>
      </rPr>
      <t>请录依据文件名称：</t>
    </r>
    <phoneticPr fontId="8" type="noConversion"/>
  </si>
  <si>
    <t>超出收益期的土地使用年限或建筑物价值折现计算</t>
    <phoneticPr fontId="8" type="noConversion"/>
  </si>
  <si>
    <t>建筑物结构</t>
    <phoneticPr fontId="8" type="noConversion"/>
  </si>
  <si>
    <t>建筑使用方向</t>
    <phoneticPr fontId="8" type="noConversion"/>
  </si>
  <si>
    <t>建成年代</t>
    <phoneticPr fontId="8" type="noConversion"/>
  </si>
  <si>
    <t>建筑物耐用年限</t>
    <phoneticPr fontId="8" type="noConversion"/>
  </si>
  <si>
    <t>建筑物剩余耐用年限</t>
    <phoneticPr fontId="8" type="noConversion"/>
  </si>
  <si>
    <t>土地使用年限</t>
    <phoneticPr fontId="8" type="noConversion"/>
  </si>
  <si>
    <t>非生产用房</t>
  </si>
  <si>
    <t>剩余土地使用年限</t>
    <phoneticPr fontId="8" type="noConversion"/>
  </si>
  <si>
    <t>比较法土地结果</t>
    <phoneticPr fontId="8" type="noConversion"/>
  </si>
  <si>
    <t>基准地价土地结果</t>
    <phoneticPr fontId="8" type="noConversion"/>
  </si>
  <si>
    <t>收益还原法土地结果</t>
    <phoneticPr fontId="8" type="noConversion"/>
  </si>
  <si>
    <t>建筑物计算</t>
    <phoneticPr fontId="8" type="noConversion"/>
  </si>
  <si>
    <t>土地使用权计算</t>
    <phoneticPr fontId="8" type="noConversion"/>
  </si>
  <si>
    <t>是否约定土地使用期结束后无偿收回房地产（非住宅）</t>
    <phoneticPr fontId="8" type="noConversion"/>
  </si>
  <si>
    <t>土地使用年限结束后建筑物耐用年期</t>
    <phoneticPr fontId="8" type="noConversion"/>
  </si>
  <si>
    <t>土地使用年限结束后建筑物成新度</t>
    <phoneticPr fontId="8" type="noConversion"/>
  </si>
  <si>
    <t>土地使用年限结束后建筑物现值</t>
    <phoneticPr fontId="8" type="noConversion"/>
  </si>
  <si>
    <t>建筑物剩余价值折现值</t>
    <phoneticPr fontId="8" type="noConversion"/>
  </si>
  <si>
    <t>建筑物耐用年限结束后剩余土地使用年限</t>
    <phoneticPr fontId="8" type="noConversion"/>
  </si>
  <si>
    <t>价值时点下的土地价值（土地购买价格）</t>
    <phoneticPr fontId="8" type="noConversion"/>
  </si>
  <si>
    <t>剩余土地使用年期下的土地年期修正系数</t>
    <phoneticPr fontId="8" type="noConversion"/>
  </si>
  <si>
    <t>建筑物剩余耐用年限下的土地年期修正系数</t>
    <phoneticPr fontId="8" type="noConversion"/>
  </si>
  <si>
    <t>剩余土地价值折现值</t>
    <phoneticPr fontId="8" type="noConversion"/>
  </si>
  <si>
    <t>结构类型</t>
  </si>
  <si>
    <t>生产用房</t>
  </si>
  <si>
    <t>受腐蚀的生产用房</t>
  </si>
  <si>
    <t>钢</t>
    <phoneticPr fontId="8" type="noConversion"/>
  </si>
  <si>
    <t>钢混</t>
    <phoneticPr fontId="8" type="noConversion"/>
  </si>
  <si>
    <t>砖混</t>
    <phoneticPr fontId="8" type="noConversion"/>
  </si>
  <si>
    <t>请选择所对应的收益法</t>
    <phoneticPr fontId="8" type="noConversion"/>
  </si>
  <si>
    <t>收益年期(总)</t>
    <phoneticPr fontId="8"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</si>
  <si>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</si>
  <si>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</si>
  <si>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</si>
  <si>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</si>
  <si>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</si>
  <si>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</si>
  <si>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</si>
  <si>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</si>
  <si>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</si>
  <si>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</si>
  <si>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8" type="noConversion"/>
  </si>
  <si>
    <t>(C)</t>
  </si>
  <si>
    <t>建筑物报酬率（%）</t>
    <phoneticPr fontId="8"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</si>
  <si>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</si>
  <si>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</si>
  <si>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</si>
  <si>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</si>
  <si>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</si>
  <si>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8"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</si>
  <si>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</si>
  <si>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</si>
  <si>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</si>
  <si>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</si>
  <si>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8" type="noConversion"/>
  </si>
  <si>
    <t>a</t>
  </si>
  <si>
    <t>房地纯收益（万元）</t>
    <phoneticPr fontId="8" type="noConversion"/>
  </si>
  <si>
    <t>b</t>
  </si>
  <si>
    <t>建筑物现值（万元）</t>
    <phoneticPr fontId="8"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</si>
  <si>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</si>
  <si>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8" type="noConversion"/>
  </si>
  <si>
    <t>收益期内收益价格（万元）</t>
    <phoneticPr fontId="8" type="noConversion"/>
  </si>
  <si>
    <t>建筑物在收益期结束时的价格折现到估价期日的价格（万元）</t>
    <phoneticPr fontId="8" type="noConversion"/>
  </si>
  <si>
    <t>建筑物重置价格（万元）</t>
    <phoneticPr fontId="8" type="noConversion"/>
  </si>
  <si>
    <t>收益价格（万元）</t>
    <phoneticPr fontId="8" type="noConversion"/>
  </si>
  <si>
    <t>收益期内收益价格（万元）</t>
    <phoneticPr fontId="8" type="noConversion"/>
  </si>
  <si>
    <t>计算建筑物剩余价格折现</t>
    <phoneticPr fontId="8"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</si>
  <si>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8" type="noConversion"/>
  </si>
  <si>
    <t>剩余土地价格折现到估价期日的价格（万元）</t>
    <phoneticPr fontId="8"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</si>
  <si>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8"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</si>
  <si>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8"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</si>
  <si>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8"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</si>
  <si>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8" type="noConversion"/>
  </si>
  <si>
    <t>(E)</t>
    <phoneticPr fontId="8" type="noConversion"/>
  </si>
  <si>
    <t>各因素幅度控制(±)</t>
    <phoneticPr fontId="8"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</si>
  <si>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8" type="noConversion"/>
  </si>
  <si>
    <t>土地还原率</t>
    <phoneticPr fontId="8" type="noConversion"/>
  </si>
  <si>
    <t>建筑物还原率</t>
    <phoneticPr fontId="8" type="noConversion"/>
  </si>
  <si>
    <t>Ⅷ-延1</t>
    <phoneticPr fontId="130" type="noConversion"/>
  </si>
  <si>
    <t>Ⅷ-延1</t>
    <phoneticPr fontId="130" type="noConversion"/>
  </si>
  <si>
    <t>宗地开发程度</t>
    <phoneticPr fontId="31" type="noConversion"/>
  </si>
  <si>
    <t>宗地开发程度</t>
    <phoneticPr fontId="8" type="noConversion"/>
  </si>
  <si>
    <t>建筑面积</t>
    <phoneticPr fontId="130" type="noConversion"/>
  </si>
  <si>
    <t>土地面积</t>
    <phoneticPr fontId="130" type="noConversion"/>
  </si>
  <si>
    <t>不含增值税，仅附加税</t>
    <phoneticPr fontId="34"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</si>
  <si>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</si>
  <si>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20"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</si>
  <si>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9" type="noConversion"/>
  </si>
  <si>
    <r>
      <rPr>
        <b/>
        <sz val="10"/>
        <rFont val="仿宋_GB2312"/>
        <family val="3"/>
        <charset val="134"/>
      </rPr>
      <t>前述</t>
    </r>
    <r>
      <rPr>
        <b/>
        <sz val="10"/>
        <rFont val="Arial"/>
        <family val="2"/>
      </rPr>
      <t>5</t>
    </r>
    <r>
      <rPr>
        <b/>
        <sz val="10"/>
        <rFont val="仿宋_GB2312"/>
        <family val="3"/>
        <charset val="134"/>
      </rPr>
      <t>项之和</t>
    </r>
    <phoneticPr fontId="46"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</si>
  <si>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8" type="noConversion"/>
  </si>
  <si>
    <r>
      <rPr>
        <b/>
        <sz val="10"/>
        <rFont val="仿宋_GB2312"/>
        <family val="3"/>
        <charset val="134"/>
      </rPr>
      <t>前述</t>
    </r>
    <r>
      <rPr>
        <b/>
        <sz val="10"/>
        <rFont val="Arial"/>
        <family val="2"/>
      </rPr>
      <t>6</t>
    </r>
    <r>
      <rPr>
        <b/>
        <sz val="10"/>
        <rFont val="仿宋_GB2312"/>
        <family val="3"/>
        <charset val="134"/>
      </rPr>
      <t>项之和</t>
    </r>
    <phoneticPr fontId="46"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</si>
  <si>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8"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</si>
  <si>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8"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</si>
  <si>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8"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</si>
  <si>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8" type="noConversion"/>
  </si>
  <si>
    <t>出让金+开发费</t>
  </si>
  <si>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</si>
  <si>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t>
    </r>
    <r>
      <rPr>
        <b/>
        <sz val="10"/>
        <rFont val="Arial"/>
        <family val="2"/>
      </rPr>
      <t>2</t>
    </r>
    <r>
      <rPr>
        <b/>
        <sz val="10"/>
        <rFont val="宋体"/>
        <family val="3"/>
        <charset val="134"/>
      </rPr>
      <t>）</t>
    </r>
    <phoneticPr fontId="20" type="noConversion"/>
  </si>
  <si>
    <t>补偿费</t>
    <phoneticPr fontId="8" type="noConversion"/>
  </si>
  <si>
    <t>安置补助费</t>
    <phoneticPr fontId="8" type="noConversion"/>
  </si>
  <si>
    <t>土地平整费</t>
    <phoneticPr fontId="8" type="noConversion"/>
  </si>
  <si>
    <t>其他费用</t>
    <phoneticPr fontId="8" type="noConversion"/>
  </si>
  <si>
    <r>
      <rPr>
        <b/>
        <sz val="10"/>
        <rFont val="宋体"/>
        <family val="3"/>
        <charset val="134"/>
      </rPr>
      <t>（</t>
    </r>
    <r>
      <rPr>
        <b/>
        <sz val="10"/>
        <rFont val="Arial"/>
        <family val="2"/>
      </rPr>
      <t>3）</t>
    </r>
    <r>
      <rPr>
        <b/>
        <sz val="10"/>
        <rFont val="宋体"/>
        <family val="3"/>
        <charset val="134"/>
      </rPr>
      <t/>
    </r>
  </si>
  <si>
    <t>2）</t>
    <phoneticPr fontId="20" type="noConversion"/>
  </si>
  <si>
    <t>1）</t>
    <phoneticPr fontId="20" type="noConversion"/>
  </si>
  <si>
    <t>红线内土地开发费</t>
    <phoneticPr fontId="8" type="noConversion"/>
  </si>
  <si>
    <t>其他可计入土地开发费的费用</t>
    <phoneticPr fontId="8" type="noConversion"/>
  </si>
  <si>
    <t>红线外土地开发费</t>
    <phoneticPr fontId="8"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</si>
  <si>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8"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</si>
  <si>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4"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</si>
  <si>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20" type="noConversion"/>
  </si>
  <si>
    <t>个人住宅</t>
  </si>
  <si>
    <t>一年期存款利率</t>
    <phoneticPr fontId="8" type="noConversion"/>
  </si>
  <si>
    <t>贷款利息</t>
    <phoneticPr fontId="8" type="noConversion"/>
  </si>
  <si>
    <r>
      <rPr>
        <b/>
        <sz val="10"/>
        <color indexed="8"/>
        <rFont val="楷体_GB2312"/>
        <family val="3"/>
        <charset val="134"/>
      </rPr>
      <t>未来第一年年总收益</t>
    </r>
    <phoneticPr fontId="8" type="noConversion"/>
  </si>
  <si>
    <t>押金利息收入</t>
    <phoneticPr fontId="8" type="noConversion"/>
  </si>
  <si>
    <t>其他收入</t>
    <phoneticPr fontId="8" type="noConversion"/>
  </si>
  <si>
    <t>年租金收入+押金利息收入+其他收入</t>
    <phoneticPr fontId="8" type="noConversion"/>
  </si>
  <si>
    <t>租金×月数×（1-空置率）</t>
    <phoneticPr fontId="8" type="noConversion"/>
  </si>
  <si>
    <t>年租金收入（年经营收入）</t>
    <phoneticPr fontId="8" type="noConversion"/>
  </si>
  <si>
    <t>押金方式</t>
    <phoneticPr fontId="8" type="noConversion"/>
  </si>
  <si>
    <t>一年期存款利率</t>
    <phoneticPr fontId="8" type="noConversion"/>
  </si>
  <si>
    <r>
      <rPr>
        <sz val="10"/>
        <color indexed="8"/>
        <rFont val="宋体"/>
        <family val="3"/>
        <charset val="134"/>
      </rPr>
      <t>（</t>
    </r>
    <r>
      <rPr>
        <sz val="10"/>
        <color indexed="8"/>
        <rFont val="Arial"/>
        <family val="2"/>
      </rPr>
      <t>2</t>
    </r>
    <r>
      <rPr>
        <sz val="10"/>
        <color indexed="8"/>
        <rFont val="宋体"/>
        <family val="3"/>
        <charset val="134"/>
      </rPr>
      <t>）</t>
    </r>
    <phoneticPr fontId="8" type="noConversion"/>
  </si>
  <si>
    <r>
      <rPr>
        <sz val="10"/>
        <color indexed="8"/>
        <rFont val="宋体"/>
        <family val="3"/>
        <charset val="134"/>
      </rPr>
      <t>（</t>
    </r>
    <r>
      <rPr>
        <sz val="10"/>
        <color indexed="8"/>
        <rFont val="Arial"/>
        <family val="2"/>
      </rPr>
      <t>3</t>
    </r>
    <r>
      <rPr>
        <sz val="10"/>
        <color indexed="8"/>
        <rFont val="宋体"/>
        <family val="3"/>
        <charset val="134"/>
      </rPr>
      <t>）</t>
    </r>
    <phoneticPr fontId="8" type="noConversion"/>
  </si>
  <si>
    <r>
      <rPr>
        <sz val="10"/>
        <color indexed="8"/>
        <rFont val="宋体"/>
        <family val="3"/>
        <charset val="134"/>
      </rPr>
      <t>（</t>
    </r>
    <r>
      <rPr>
        <sz val="10"/>
        <color indexed="8"/>
        <rFont val="Arial"/>
        <family val="2"/>
      </rPr>
      <t>1</t>
    </r>
    <r>
      <rPr>
        <sz val="10"/>
        <color indexed="8"/>
        <rFont val="宋体"/>
        <family val="3"/>
        <charset val="134"/>
      </rPr>
      <t>）</t>
    </r>
    <phoneticPr fontId="8" type="noConversion"/>
  </si>
  <si>
    <r>
      <rPr>
        <sz val="10"/>
        <color indexed="8"/>
        <rFont val="宋体"/>
        <family val="3"/>
        <charset val="134"/>
      </rPr>
      <t>（</t>
    </r>
    <r>
      <rPr>
        <sz val="10"/>
        <color indexed="8"/>
        <rFont val="Arial"/>
        <family val="2"/>
      </rPr>
      <t>2</t>
    </r>
    <r>
      <rPr>
        <sz val="10"/>
        <color indexed="8"/>
        <rFont val="宋体"/>
        <family val="3"/>
        <charset val="134"/>
      </rPr>
      <t>）</t>
    </r>
    <phoneticPr fontId="8" type="noConversion"/>
  </si>
  <si>
    <r>
      <rPr>
        <sz val="10"/>
        <color indexed="8"/>
        <rFont val="宋体"/>
        <family val="3"/>
        <charset val="134"/>
      </rPr>
      <t>（</t>
    </r>
    <r>
      <rPr>
        <sz val="10"/>
        <color indexed="8"/>
        <rFont val="Arial"/>
        <family val="2"/>
      </rPr>
      <t>3</t>
    </r>
    <r>
      <rPr>
        <sz val="10"/>
        <color indexed="8"/>
        <rFont val="宋体"/>
        <family val="3"/>
        <charset val="134"/>
      </rPr>
      <t>）</t>
    </r>
    <phoneticPr fontId="8" type="noConversion"/>
  </si>
  <si>
    <t>1.年总收入</t>
    <phoneticPr fontId="8" type="noConversion"/>
  </si>
  <si>
    <t>（1）客房</t>
    <phoneticPr fontId="8" type="noConversion"/>
  </si>
  <si>
    <t>房型</t>
    <phoneticPr fontId="8" type="noConversion"/>
  </si>
  <si>
    <t>间数</t>
    <phoneticPr fontId="8" type="noConversion"/>
  </si>
  <si>
    <t>收费标准</t>
    <phoneticPr fontId="8" type="noConversion"/>
  </si>
  <si>
    <t>折扣率</t>
    <phoneticPr fontId="8" type="noConversion"/>
  </si>
  <si>
    <t>出租率</t>
    <phoneticPr fontId="8" type="noConversion"/>
  </si>
  <si>
    <t>天数</t>
    <phoneticPr fontId="8" type="noConversion"/>
  </si>
  <si>
    <t>年收入</t>
    <phoneticPr fontId="8" type="noConversion"/>
  </si>
  <si>
    <t>总统套房</t>
    <phoneticPr fontId="8" type="noConversion"/>
  </si>
  <si>
    <t>行政套房</t>
    <phoneticPr fontId="8" type="noConversion"/>
  </si>
  <si>
    <t>沙龙套房</t>
    <phoneticPr fontId="8" type="noConversion"/>
  </si>
  <si>
    <t>标准房</t>
    <phoneticPr fontId="8" type="noConversion"/>
  </si>
  <si>
    <t>单间公寓</t>
    <phoneticPr fontId="8" type="noConversion"/>
  </si>
  <si>
    <t>单房公寓</t>
    <phoneticPr fontId="8" type="noConversion"/>
  </si>
  <si>
    <t>双房公寓</t>
    <phoneticPr fontId="8" type="noConversion"/>
  </si>
  <si>
    <t>小计</t>
    <phoneticPr fontId="8" type="noConversion"/>
  </si>
  <si>
    <t>（2）餐厅</t>
    <phoneticPr fontId="8" type="noConversion"/>
  </si>
  <si>
    <t>餐厅</t>
    <phoneticPr fontId="8" type="noConversion"/>
  </si>
  <si>
    <t>人均消费</t>
    <phoneticPr fontId="8" type="noConversion"/>
  </si>
  <si>
    <t>座位数</t>
    <phoneticPr fontId="8" type="noConversion"/>
  </si>
  <si>
    <t>上座率</t>
    <phoneticPr fontId="8" type="noConversion"/>
  </si>
  <si>
    <t>天数</t>
    <phoneticPr fontId="8" type="noConversion"/>
  </si>
  <si>
    <t>——</t>
    <phoneticPr fontId="8" type="noConversion"/>
  </si>
  <si>
    <t>年收入</t>
    <phoneticPr fontId="8" type="noConversion"/>
  </si>
  <si>
    <t>中餐厅</t>
    <phoneticPr fontId="8" type="noConversion"/>
  </si>
  <si>
    <t>西餐厅</t>
    <phoneticPr fontId="8" type="noConversion"/>
  </si>
  <si>
    <t>其他</t>
    <phoneticPr fontId="8" type="noConversion"/>
  </si>
  <si>
    <t>（3）会议中心</t>
    <phoneticPr fontId="8" type="noConversion"/>
  </si>
  <si>
    <t>会议室</t>
    <phoneticPr fontId="8" type="noConversion"/>
  </si>
  <si>
    <t>间数</t>
    <phoneticPr fontId="8" type="noConversion"/>
  </si>
  <si>
    <t>收费（元/间.天）</t>
    <phoneticPr fontId="8" type="noConversion"/>
  </si>
  <si>
    <t>平均使用率</t>
    <phoneticPr fontId="8" type="noConversion"/>
  </si>
  <si>
    <t>大</t>
    <phoneticPr fontId="8" type="noConversion"/>
  </si>
  <si>
    <t>中</t>
    <phoneticPr fontId="8" type="noConversion"/>
  </si>
  <si>
    <t>小</t>
    <phoneticPr fontId="8" type="noConversion"/>
  </si>
  <si>
    <t>（4）其他收入（可按客房收入比率计算）</t>
    <phoneticPr fontId="8" type="noConversion"/>
  </si>
  <si>
    <t>（5）出租部分</t>
    <phoneticPr fontId="8" type="noConversion"/>
  </si>
  <si>
    <t>建筑面积</t>
    <phoneticPr fontId="8" type="noConversion"/>
  </si>
  <si>
    <t>日租金</t>
    <phoneticPr fontId="8" type="noConversion"/>
  </si>
  <si>
    <t>天数</t>
    <phoneticPr fontId="8" type="noConversion"/>
  </si>
  <si>
    <t>空置率</t>
    <phoneticPr fontId="8" type="noConversion"/>
  </si>
  <si>
    <t>——</t>
    <phoneticPr fontId="8" type="noConversion"/>
  </si>
  <si>
    <t>年收入</t>
    <phoneticPr fontId="8" type="noConversion"/>
  </si>
  <si>
    <t>（一）年净收入（剥离非房地产带来的收益）</t>
    <phoneticPr fontId="8" type="noConversion"/>
  </si>
  <si>
    <t>年总收入</t>
    <phoneticPr fontId="8" type="noConversion"/>
  </si>
  <si>
    <t>（1）</t>
    <phoneticPr fontId="8" type="noConversion"/>
  </si>
  <si>
    <t>客房收入</t>
    <phoneticPr fontId="8" type="noConversion"/>
  </si>
  <si>
    <t>（2）</t>
    <phoneticPr fontId="8" type="noConversion"/>
  </si>
  <si>
    <t>餐厅、会议中心、出租等收入，按主收入（客房收入）比例计算</t>
    <phoneticPr fontId="8" type="noConversion"/>
  </si>
  <si>
    <t>经营成本</t>
    <phoneticPr fontId="8" type="noConversion"/>
  </si>
  <si>
    <t>包含耗用物品以及原材料等，以年总收入为基数计算</t>
    <phoneticPr fontId="8" type="noConversion"/>
  </si>
  <si>
    <t>其他营业费用</t>
    <phoneticPr fontId="8" type="noConversion"/>
  </si>
  <si>
    <t>工资、水电费、宣传费、差旅费、公司经费、审计费、咨询费、银行手续费、特殊行业税费等等，以年总收入为基数计算</t>
    <phoneticPr fontId="8" type="noConversion"/>
  </si>
  <si>
    <t>行业利润</t>
    <phoneticPr fontId="8" type="noConversion"/>
  </si>
  <si>
    <t>（二）年经营费用（房地产）</t>
    <phoneticPr fontId="8" type="noConversion"/>
  </si>
  <si>
    <t>税费</t>
    <phoneticPr fontId="8" type="noConversion"/>
  </si>
  <si>
    <t>保险费</t>
    <phoneticPr fontId="8" type="noConversion"/>
  </si>
  <si>
    <t>维修费</t>
    <phoneticPr fontId="8" type="noConversion"/>
  </si>
  <si>
    <t>管理费</t>
    <phoneticPr fontId="8" type="noConversion"/>
  </si>
  <si>
    <t>（三）净收益</t>
    <phoneticPr fontId="8" type="noConversion"/>
  </si>
  <si>
    <t>交易时间（按季度修正）</t>
    <phoneticPr fontId="8" type="noConversion"/>
  </si>
  <si>
    <t>交易时间（按季度调整）</t>
    <phoneticPr fontId="8"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</si>
  <si>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8"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</si>
  <si>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8" type="noConversion"/>
  </si>
  <si>
    <r>
      <rPr>
        <b/>
        <sz val="10"/>
        <color indexed="8"/>
        <rFont val="宋体"/>
        <family val="3"/>
        <charset val="134"/>
      </rPr>
      <t>（</t>
    </r>
    <r>
      <rPr>
        <b/>
        <sz val="10"/>
        <color indexed="8"/>
        <rFont val="Arial"/>
        <family val="2"/>
      </rPr>
      <t>2</t>
    </r>
    <r>
      <rPr>
        <b/>
        <sz val="10"/>
        <color indexed="8"/>
        <rFont val="宋体"/>
        <family val="3"/>
        <charset val="134"/>
      </rPr>
      <t>）</t>
    </r>
    <phoneticPr fontId="8" type="noConversion"/>
  </si>
  <si>
    <t>（1）</t>
    <phoneticPr fontId="8" type="noConversion"/>
  </si>
  <si>
    <t>租金收入</t>
    <phoneticPr fontId="8" type="noConversion"/>
  </si>
  <si>
    <t>基础设施水平</t>
    <phoneticPr fontId="19" type="noConversion"/>
  </si>
  <si>
    <t>七通</t>
    <phoneticPr fontId="19" type="noConversion"/>
  </si>
  <si>
    <t>六通</t>
    <phoneticPr fontId="19" type="noConversion"/>
  </si>
  <si>
    <t>五通</t>
    <phoneticPr fontId="19" type="noConversion"/>
  </si>
  <si>
    <t>四通</t>
    <phoneticPr fontId="19" type="noConversion"/>
  </si>
  <si>
    <t>三通</t>
    <phoneticPr fontId="19" type="noConversion"/>
  </si>
  <si>
    <t>公共配套设施</t>
    <phoneticPr fontId="19" type="noConversion"/>
  </si>
  <si>
    <t>公共配套设施</t>
    <phoneticPr fontId="26" type="noConversion"/>
  </si>
  <si>
    <t>基础设施水平</t>
    <phoneticPr fontId="26" type="noConversion"/>
  </si>
  <si>
    <t>公共配套设施</t>
    <phoneticPr fontId="31" type="noConversion"/>
  </si>
  <si>
    <t>基础设施水平</t>
    <phoneticPr fontId="31" type="noConversion"/>
  </si>
  <si>
    <t>基础设施水平</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</si>
  <si>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</si>
  <si>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</si>
  <si>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</si>
  <si>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</si>
  <si>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</si>
  <si>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市政基础设施</t>
    <phoneticPr fontId="8" type="noConversion"/>
  </si>
  <si>
    <t>公共配套设施</t>
    <phoneticPr fontId="8"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</si>
  <si>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</si>
  <si>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</si>
  <si>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</si>
  <si>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</si>
  <si>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</si>
  <si>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</si>
  <si>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26" type="noConversion"/>
  </si>
  <si>
    <t>市政基础设施</t>
    <phoneticPr fontId="31" type="noConversion"/>
  </si>
  <si>
    <t>分摊非经营性用途用房</t>
    <phoneticPr fontId="8" type="noConversion"/>
  </si>
  <si>
    <t>按面积比例分摊</t>
    <phoneticPr fontId="8" type="noConversion"/>
  </si>
  <si>
    <t>自定义分摊</t>
    <phoneticPr fontId="8" type="noConversion"/>
  </si>
  <si>
    <t>设备</t>
    <phoneticPr fontId="8" type="noConversion"/>
  </si>
  <si>
    <t>公共配套(住宅)</t>
    <phoneticPr fontId="8" type="noConversion"/>
  </si>
  <si>
    <t>合</t>
    <phoneticPr fontId="8" type="noConversion"/>
  </si>
  <si>
    <t>建筑面积（分摊设备）</t>
    <phoneticPr fontId="8" type="noConversion"/>
  </si>
  <si>
    <r>
      <t>（自定义押金）</t>
    </r>
    <r>
      <rPr>
        <b/>
        <i/>
        <sz val="10"/>
        <color rgb="FFFF0000"/>
        <rFont val="宋体"/>
        <family val="3"/>
        <charset val="134"/>
      </rPr>
      <t>单位：元</t>
    </r>
    <phoneticPr fontId="8" type="noConversion"/>
  </si>
  <si>
    <r>
      <t>1</t>
    </r>
    <r>
      <rPr>
        <sz val="12"/>
        <color indexed="8"/>
        <rFont val="仿宋_GB2312"/>
        <family val="3"/>
        <charset val="134"/>
      </rPr>
      <t>.本《评估意见函》中所列估价结果为初评结果，准确金额以本公司出具的正式《土地估价报告》为准。</t>
    </r>
    <phoneticPr fontId="142"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</si>
  <si>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</si>
  <si>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</si>
  <si>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</si>
  <si>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</si>
  <si>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8" type="noConversion"/>
  </si>
  <si>
    <t>2017-2</t>
    <phoneticPr fontId="8" type="noConversion"/>
  </si>
  <si>
    <t>2017-1</t>
    <phoneticPr fontId="8"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</si>
  <si>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</si>
  <si>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</si>
  <si>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</si>
  <si>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</si>
  <si>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</si>
  <si>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</si>
  <si>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</si>
  <si>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</si>
  <si>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</si>
  <si>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</si>
  <si>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</si>
  <si>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</si>
  <si>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</si>
  <si>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</si>
  <si>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</si>
  <si>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</si>
  <si>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</si>
  <si>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</si>
  <si>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</si>
  <si>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</si>
  <si>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</si>
  <si>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</si>
  <si>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</si>
  <si>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</si>
  <si>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</si>
  <si>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</si>
  <si>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</si>
  <si>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</si>
  <si>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</si>
  <si>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</si>
  <si>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</si>
  <si>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</si>
  <si>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</si>
  <si>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</si>
  <si>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</si>
  <si>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</si>
  <si>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</si>
  <si>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</si>
  <si>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</si>
  <si>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</si>
  <si>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</si>
  <si>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</si>
  <si>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</si>
  <si>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</si>
  <si>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</si>
  <si>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</si>
  <si>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</si>
  <si>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</si>
  <si>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</si>
  <si>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</si>
  <si>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</si>
  <si>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</si>
  <si>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</si>
  <si>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</si>
  <si>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</si>
  <si>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</si>
  <si>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</si>
  <si>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</si>
  <si>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8" type="noConversion"/>
  </si>
  <si>
    <r>
      <rPr>
        <sz val="11"/>
        <color indexed="8"/>
        <rFont val="楷体_GB2312"/>
        <family val="3"/>
        <charset val="134"/>
      </rPr>
      <t>工业</t>
    </r>
    <phoneticPr fontId="8" type="noConversion"/>
  </si>
  <si>
    <t>平均增幅</t>
    <phoneticPr fontId="233" type="noConversion"/>
  </si>
  <si>
    <t>自定义涨幅</t>
    <phoneticPr fontId="130" type="noConversion"/>
  </si>
  <si>
    <t>季度增幅</t>
    <phoneticPr fontId="130"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</si>
  <si>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1" type="noConversion"/>
  </si>
  <si>
    <t>综合</t>
  </si>
  <si>
    <t>综合</t>
    <phoneticPr fontId="130" type="noConversion"/>
  </si>
  <si>
    <t>工业</t>
    <phoneticPr fontId="33" type="noConversion"/>
  </si>
  <si>
    <t>平均季度涨幅（公示）</t>
    <phoneticPr fontId="130" type="noConversion"/>
  </si>
  <si>
    <t>万元</t>
    <phoneticPr fontId="8" type="noConversion"/>
  </si>
  <si>
    <r>
      <t>1 .</t>
    </r>
    <r>
      <rPr>
        <b/>
        <sz val="12"/>
        <color indexed="8"/>
        <rFont val="仿宋_GB2312"/>
        <family val="3"/>
        <charset val="134"/>
      </rPr>
      <t>不动产总价</t>
    </r>
    <phoneticPr fontId="19" type="noConversion"/>
  </si>
  <si>
    <t>11111111111</t>
    <phoneticPr fontId="142" type="noConversion"/>
  </si>
  <si>
    <t>京国土字第111号</t>
    <phoneticPr fontId="142" type="noConversion"/>
  </si>
  <si>
    <t>中信开发</t>
    <phoneticPr fontId="142"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</si>
  <si>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</si>
  <si>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</si>
  <si>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</si>
  <si>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</si>
  <si>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</si>
  <si>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</si>
  <si>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</si>
  <si>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</si>
  <si>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</si>
  <si>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</si>
  <si>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</si>
  <si>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</si>
  <si>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</si>
  <si>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</si>
  <si>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</si>
  <si>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</si>
  <si>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</si>
  <si>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</si>
  <si>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</si>
  <si>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</si>
  <si>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</si>
  <si>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</si>
  <si>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</si>
  <si>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</si>
  <si>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</si>
  <si>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</si>
  <si>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</si>
  <si>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</si>
  <si>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</si>
  <si>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</si>
  <si>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</si>
  <si>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</si>
  <si>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</si>
  <si>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</si>
  <si>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</si>
  <si>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</si>
  <si>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</si>
  <si>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8"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</si>
  <si>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</si>
  <si>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</si>
  <si>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</si>
  <si>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</si>
  <si>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</si>
  <si>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</si>
  <si>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</si>
  <si>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</si>
  <si>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42" type="noConversion"/>
  </si>
  <si>
    <t xml:space="preserve">  年   月   日</t>
    <phoneticPr fontId="142" type="noConversion"/>
  </si>
  <si>
    <t xml:space="preserve">  年   月   日</t>
    <phoneticPr fontId="142" type="noConversion"/>
  </si>
  <si>
    <t>致函-委托事项</t>
    <phoneticPr fontId="244" type="noConversion"/>
  </si>
  <si>
    <r>
      <t>金融机构</t>
    </r>
    <r>
      <rPr>
        <sz val="10"/>
        <color indexed="8"/>
        <rFont val="仿宋_GB2312"/>
        <family val="3"/>
        <charset val="134"/>
      </rPr>
      <t>(贷款方)</t>
    </r>
    <phoneticPr fontId="8" type="noConversion"/>
  </si>
  <si>
    <t>借款方</t>
    <phoneticPr fontId="11"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</si>
  <si>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</si>
  <si>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</si>
  <si>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</si>
  <si>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</si>
  <si>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</si>
  <si>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</si>
  <si>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</si>
  <si>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</si>
  <si>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</si>
  <si>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</si>
  <si>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</si>
  <si>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</si>
  <si>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</si>
  <si>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</si>
  <si>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</si>
  <si>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</si>
  <si>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</si>
  <si>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</si>
  <si>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</si>
  <si>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</si>
  <si>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</si>
  <si>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</si>
  <si>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</si>
  <si>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42" type="noConversion"/>
  </si>
  <si>
    <t>（剩余）土地使用年限/年</t>
    <phoneticPr fontId="142" type="noConversion"/>
  </si>
  <si>
    <t>致函-估价结果-表-使用者(标题）</t>
    <phoneticPr fontId="244" type="noConversion"/>
  </si>
  <si>
    <t>致函-估价结果-表-地号(标题）</t>
    <phoneticPr fontId="244" type="noConversion"/>
  </si>
  <si>
    <t>土地使用证编号/不动产权证书编号</t>
    <phoneticPr fontId="142"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</si>
  <si>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</si>
  <si>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</si>
  <si>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</si>
  <si>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</si>
  <si>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</si>
  <si>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</si>
  <si>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</si>
  <si>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</si>
  <si>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42" type="noConversion"/>
  </si>
  <si>
    <r>
      <t>实际</t>
    </r>
    <r>
      <rPr>
        <i/>
        <sz val="10.5"/>
        <color theme="3" tint="0.39997558519241921"/>
        <rFont val="仿宋_GB2312"/>
        <family val="3"/>
        <charset val="134"/>
      </rPr>
      <t>（工程规划）</t>
    </r>
    <phoneticPr fontId="142" type="noConversion"/>
  </si>
  <si>
    <t>（3）。</t>
    <phoneticPr fontId="142" type="noConversion"/>
  </si>
  <si>
    <t xml:space="preserve">简述项目推广名，项目类型（用途），估价对象分布，各用途面积明细情况：XX用途建筑面积XX平方米，XX用途建筑面积XX平方米，……。复杂面积清单需设‘附表’列示：抵押物清单详见附表。        </t>
    <phoneticPr fontId="8"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</si>
  <si>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42"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</si>
  <si>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</si>
  <si>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</si>
  <si>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</si>
  <si>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</si>
  <si>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</si>
  <si>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31" type="noConversion"/>
  </si>
  <si>
    <t>个别因素</t>
    <phoneticPr fontId="31" type="noConversion"/>
  </si>
  <si>
    <r>
      <rPr>
        <b/>
        <sz val="11"/>
        <color indexed="8"/>
        <rFont val="仿宋_GB2312"/>
        <family val="3"/>
        <charset val="134"/>
      </rPr>
      <t>用途</t>
    </r>
    <phoneticPr fontId="8" type="noConversion"/>
  </si>
  <si>
    <r>
      <rPr>
        <b/>
        <sz val="11"/>
        <color indexed="8"/>
        <rFont val="仿宋_GB2312"/>
        <family val="3"/>
        <charset val="134"/>
      </rPr>
      <t>土地使用年限（年）</t>
    </r>
    <phoneticPr fontId="8" type="noConversion"/>
  </si>
  <si>
    <r>
      <rPr>
        <b/>
        <sz val="11"/>
        <color indexed="8"/>
        <rFont val="仿宋_GB2312"/>
        <family val="3"/>
        <charset val="134"/>
      </rPr>
      <t>容积率</t>
    </r>
    <phoneticPr fontId="8" type="noConversion"/>
  </si>
  <si>
    <r>
      <rPr>
        <b/>
        <sz val="11"/>
        <color indexed="8"/>
        <rFont val="仿宋_GB2312"/>
        <family val="3"/>
        <charset val="134"/>
      </rPr>
      <t>配建</t>
    </r>
    <phoneticPr fontId="31" type="noConversion"/>
  </si>
  <si>
    <r>
      <rPr>
        <b/>
        <sz val="11"/>
        <rFont val="仿宋_GB2312"/>
        <family val="3"/>
        <charset val="134"/>
      </rPr>
      <t>比较价格（元</t>
    </r>
    <r>
      <rPr>
        <b/>
        <sz val="11"/>
        <rFont val="Arial"/>
        <family val="2"/>
      </rPr>
      <t>/</t>
    </r>
    <r>
      <rPr>
        <b/>
        <sz val="11"/>
        <rFont val="仿宋_GB2312"/>
        <family val="3"/>
        <charset val="134"/>
      </rPr>
      <t>平方米）</t>
    </r>
    <phoneticPr fontId="8" type="noConversion"/>
  </si>
  <si>
    <t>楼层修正</t>
  </si>
  <si>
    <t>商业多楼层</t>
    <phoneticPr fontId="130" type="noConversion"/>
  </si>
  <si>
    <t>楼层修正系数</t>
    <phoneticPr fontId="130" type="noConversion"/>
  </si>
  <si>
    <r>
      <t>商业R</t>
    </r>
    <r>
      <rPr>
        <sz val="10"/>
        <color indexed="8"/>
        <rFont val="仿宋_GB2312"/>
        <family val="3"/>
        <charset val="134"/>
      </rPr>
      <t>≥</t>
    </r>
    <r>
      <rPr>
        <sz val="10"/>
        <color indexed="8"/>
        <rFont val="宋体"/>
        <family val="3"/>
        <charset val="134"/>
      </rPr>
      <t>1</t>
    </r>
    <phoneticPr fontId="130" type="noConversion"/>
  </si>
  <si>
    <r>
      <rPr>
        <sz val="10"/>
        <rFont val="仿宋_GB2312"/>
        <family val="3"/>
        <charset val="134"/>
      </rPr>
      <t>估价对象级别</t>
    </r>
    <phoneticPr fontId="130" type="noConversion"/>
  </si>
  <si>
    <r>
      <rPr>
        <sz val="10"/>
        <rFont val="仿宋_GB2312"/>
        <family val="3"/>
        <charset val="134"/>
      </rPr>
      <t>容积率</t>
    </r>
    <phoneticPr fontId="130" type="noConversion"/>
  </si>
  <si>
    <r>
      <rPr>
        <sz val="10"/>
        <color theme="1"/>
        <rFont val="宋体"/>
        <family val="3"/>
        <charset val="134"/>
      </rPr>
      <t>一级</t>
    </r>
    <phoneticPr fontId="130" type="noConversion"/>
  </si>
  <si>
    <r>
      <rPr>
        <sz val="10"/>
        <color theme="1"/>
        <rFont val="宋体"/>
        <family val="3"/>
        <charset val="134"/>
      </rPr>
      <t>二级</t>
    </r>
    <phoneticPr fontId="130" type="noConversion"/>
  </si>
  <si>
    <r>
      <rPr>
        <sz val="10"/>
        <color theme="1"/>
        <rFont val="宋体"/>
        <family val="3"/>
        <charset val="134"/>
      </rPr>
      <t>三级</t>
    </r>
    <phoneticPr fontId="130" type="noConversion"/>
  </si>
  <si>
    <r>
      <rPr>
        <sz val="10"/>
        <color theme="1"/>
        <rFont val="宋体"/>
        <family val="3"/>
        <charset val="134"/>
      </rPr>
      <t>四级</t>
    </r>
    <phoneticPr fontId="130" type="noConversion"/>
  </si>
  <si>
    <r>
      <rPr>
        <sz val="10"/>
        <color theme="1"/>
        <rFont val="宋体"/>
        <family val="3"/>
        <charset val="134"/>
      </rPr>
      <t>五级</t>
    </r>
    <phoneticPr fontId="130" type="noConversion"/>
  </si>
  <si>
    <r>
      <rPr>
        <sz val="10"/>
        <color theme="1"/>
        <rFont val="宋体"/>
        <family val="3"/>
        <charset val="134"/>
      </rPr>
      <t>六级</t>
    </r>
    <phoneticPr fontId="130" type="noConversion"/>
  </si>
  <si>
    <r>
      <rPr>
        <sz val="10"/>
        <color theme="1"/>
        <rFont val="宋体"/>
        <family val="3"/>
        <charset val="134"/>
      </rPr>
      <t>七级</t>
    </r>
    <phoneticPr fontId="130" type="noConversion"/>
  </si>
  <si>
    <r>
      <rPr>
        <sz val="10"/>
        <color theme="1"/>
        <rFont val="宋体"/>
        <family val="3"/>
        <charset val="134"/>
      </rPr>
      <t>八级</t>
    </r>
    <phoneticPr fontId="130" type="noConversion"/>
  </si>
  <si>
    <r>
      <rPr>
        <sz val="10"/>
        <color theme="1"/>
        <rFont val="宋体"/>
        <family val="3"/>
        <charset val="134"/>
      </rPr>
      <t>九级</t>
    </r>
    <phoneticPr fontId="130" type="noConversion"/>
  </si>
  <si>
    <r>
      <rPr>
        <sz val="10"/>
        <color theme="1"/>
        <rFont val="宋体"/>
        <family val="3"/>
        <charset val="134"/>
      </rPr>
      <t>十级</t>
    </r>
    <phoneticPr fontId="130" type="noConversion"/>
  </si>
  <si>
    <r>
      <rPr>
        <sz val="10"/>
        <color theme="1"/>
        <rFont val="宋体"/>
        <family val="3"/>
        <charset val="134"/>
      </rPr>
      <t>十一级</t>
    </r>
    <phoneticPr fontId="130" type="noConversion"/>
  </si>
  <si>
    <r>
      <rPr>
        <sz val="10"/>
        <color theme="1"/>
        <rFont val="宋体"/>
        <family val="3"/>
        <charset val="134"/>
      </rPr>
      <t>十二级</t>
    </r>
    <phoneticPr fontId="130"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</si>
  <si>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30" type="noConversion"/>
  </si>
  <si>
    <r>
      <t>7</t>
    </r>
    <r>
      <rPr>
        <sz val="10"/>
        <color theme="1"/>
        <rFont val="宋体"/>
        <family val="3"/>
        <charset val="134"/>
      </rPr>
      <t>层及以上</t>
    </r>
    <phoneticPr fontId="130" type="noConversion"/>
  </si>
  <si>
    <r>
      <rPr>
        <sz val="10"/>
        <rFont val="仿宋_GB2312"/>
        <family val="3"/>
        <charset val="134"/>
      </rPr>
      <t>商业</t>
    </r>
    <r>
      <rPr>
        <sz val="10"/>
        <rFont val="Arial"/>
        <family val="2"/>
      </rPr>
      <t>R&lt;1</t>
    </r>
    <phoneticPr fontId="130"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</si>
  <si>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30" type="noConversion"/>
  </si>
  <si>
    <t>容积率             级别</t>
    <phoneticPr fontId="130" type="noConversion"/>
  </si>
  <si>
    <t>楼面熟地单价</t>
    <phoneticPr fontId="130" type="noConversion"/>
  </si>
  <si>
    <t>层面积</t>
    <phoneticPr fontId="130" type="noConversion"/>
  </si>
  <si>
    <t>总额</t>
    <phoneticPr fontId="130" type="noConversion"/>
  </si>
  <si>
    <t>致函-其他专业人员</t>
    <phoneticPr fontId="244" type="noConversion"/>
  </si>
  <si>
    <t>价值时点</t>
    <phoneticPr fontId="8" type="noConversion"/>
  </si>
  <si>
    <t>贷款利率</t>
    <phoneticPr fontId="8" type="noConversion"/>
  </si>
  <si>
    <t>贷款利率</t>
    <phoneticPr fontId="233" type="noConversion"/>
  </si>
  <si>
    <t>存款利率</t>
    <phoneticPr fontId="233" type="noConversion"/>
  </si>
  <si>
    <t>半年以内（含）</t>
    <phoneticPr fontId="8" type="noConversion"/>
  </si>
  <si>
    <t>0.5-1年（含）</t>
    <phoneticPr fontId="8" type="noConversion"/>
  </si>
  <si>
    <t>1-3年（含）</t>
    <phoneticPr fontId="8" type="noConversion"/>
  </si>
  <si>
    <t>3-5年（含）</t>
    <phoneticPr fontId="8" type="noConversion"/>
  </si>
  <si>
    <t>5年以上</t>
    <phoneticPr fontId="8"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</si>
  <si>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</si>
  <si>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</si>
  <si>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</si>
  <si>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8" type="noConversion"/>
  </si>
  <si>
    <t>日期</t>
  </si>
  <si>
    <t>短期</t>
  </si>
  <si>
    <t>中长期</t>
  </si>
  <si>
    <t>个人住房公积金</t>
  </si>
  <si>
    <t>活期</t>
  </si>
  <si>
    <t>整存整取</t>
  </si>
  <si>
    <t>零存整取</t>
    <phoneticPr fontId="8" type="noConversion"/>
  </si>
  <si>
    <t>协定</t>
  </si>
  <si>
    <t>一天通</t>
  </si>
  <si>
    <t>七天通</t>
  </si>
  <si>
    <t>0半年以内（含）</t>
    <phoneticPr fontId="8" type="noConversion"/>
  </si>
  <si>
    <t>0.5-1年（含）</t>
    <phoneticPr fontId="8" type="noConversion"/>
  </si>
  <si>
    <t>1-3年（含）</t>
    <phoneticPr fontId="8" type="noConversion"/>
  </si>
  <si>
    <t>3-5年（含）</t>
    <phoneticPr fontId="8" type="noConversion"/>
  </si>
  <si>
    <t>5年以</t>
  </si>
  <si>
    <t>3个月</t>
  </si>
  <si>
    <t>当期</t>
  </si>
  <si>
    <t>--</t>
  </si>
  <si>
    <t>项目开发期</t>
    <phoneticPr fontId="233" type="noConversion"/>
  </si>
  <si>
    <t>1年期存款利率</t>
    <phoneticPr fontId="8" type="noConversion"/>
  </si>
  <si>
    <t>土地开发期</t>
    <phoneticPr fontId="233" type="noConversion"/>
  </si>
  <si>
    <t>不动产未来第一年净收益</t>
    <phoneticPr fontId="8" type="noConversion"/>
  </si>
  <si>
    <r>
      <t>建筑物重置价格（P</t>
    </r>
    <r>
      <rPr>
        <vertAlign val="subscript"/>
        <sz val="10"/>
        <color indexed="8"/>
        <rFont val="仿宋_GB2312"/>
        <family val="3"/>
        <charset val="134"/>
      </rPr>
      <t>建</t>
    </r>
    <r>
      <rPr>
        <sz val="10"/>
        <color indexed="8"/>
        <rFont val="仿宋_GB2312"/>
        <family val="3"/>
        <charset val="134"/>
      </rPr>
      <t>）</t>
    </r>
    <phoneticPr fontId="8" type="noConversion"/>
  </si>
  <si>
    <t>折现价格</t>
    <phoneticPr fontId="8" type="noConversion"/>
  </si>
  <si>
    <t>建筑物重置价格</t>
    <phoneticPr fontId="8" type="noConversion"/>
  </si>
  <si>
    <t>建筑物重置价格</t>
    <phoneticPr fontId="8" type="noConversion"/>
  </si>
  <si>
    <t>租约外不动产总价</t>
    <phoneticPr fontId="8" type="noConversion"/>
  </si>
  <si>
    <t>工程进度</t>
  </si>
  <si>
    <r>
      <t>P</t>
    </r>
    <r>
      <rPr>
        <b/>
        <vertAlign val="subscript"/>
        <sz val="11"/>
        <color indexed="8"/>
        <rFont val="仿宋_GB2312"/>
        <family val="3"/>
        <charset val="134"/>
      </rPr>
      <t>土</t>
    </r>
    <phoneticPr fontId="19" type="noConversion"/>
  </si>
  <si>
    <r>
      <t>P</t>
    </r>
    <r>
      <rPr>
        <b/>
        <vertAlign val="subscript"/>
        <sz val="11"/>
        <color indexed="8"/>
        <rFont val="仿宋_GB2312"/>
        <family val="3"/>
        <charset val="134"/>
      </rPr>
      <t>建</t>
    </r>
    <phoneticPr fontId="46" type="noConversion"/>
  </si>
  <si>
    <t>投资利润</t>
    <phoneticPr fontId="19" type="noConversion"/>
  </si>
  <si>
    <t>投资利润</t>
    <phoneticPr fontId="19" type="noConversion"/>
  </si>
  <si>
    <t>（10）</t>
    <phoneticPr fontId="20" type="noConversion"/>
  </si>
  <si>
    <t>管理费用</t>
    <phoneticPr fontId="19" type="noConversion"/>
  </si>
  <si>
    <t>购地税费</t>
    <phoneticPr fontId="19" type="noConversion"/>
  </si>
  <si>
    <t>投资利息</t>
    <phoneticPr fontId="19" type="noConversion"/>
  </si>
  <si>
    <r>
      <rPr>
        <b/>
        <sz val="10"/>
        <color indexed="8"/>
        <rFont val="楷体_GB2312"/>
        <family val="3"/>
        <charset val="134"/>
      </rPr>
      <t>销售费用</t>
    </r>
    <phoneticPr fontId="19"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</si>
  <si>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9" type="noConversion"/>
  </si>
  <si>
    <t>（1）-（5）项及销售费用产生的利息</t>
    <phoneticPr fontId="8"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</si>
  <si>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9" type="noConversion"/>
  </si>
  <si>
    <t>基准日地价指数</t>
    <phoneticPr fontId="8" type="noConversion"/>
  </si>
  <si>
    <t>所在季度地价指数</t>
    <phoneticPr fontId="8"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</si>
  <si>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</si>
  <si>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</si>
  <si>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</si>
  <si>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</si>
  <si>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</si>
  <si>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</si>
  <si>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</si>
  <si>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</si>
  <si>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</si>
  <si>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</si>
  <si>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</si>
  <si>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</si>
  <si>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</si>
  <si>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</si>
  <si>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</si>
  <si>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</si>
  <si>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</si>
  <si>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</si>
  <si>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</si>
  <si>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</si>
  <si>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</si>
  <si>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</si>
  <si>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</si>
  <si>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</si>
  <si>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</si>
  <si>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</si>
  <si>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</si>
  <si>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</si>
  <si>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</si>
  <si>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</si>
  <si>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</si>
  <si>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</si>
  <si>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</si>
  <si>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</si>
  <si>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</si>
  <si>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</si>
  <si>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</si>
  <si>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</si>
  <si>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t>评估费</t>
  </si>
  <si>
    <t>拍卖费</t>
  </si>
  <si>
    <t>土地抵押价格</t>
    <phoneticPr fontId="13" type="noConversion"/>
  </si>
  <si>
    <t>个人非住宅</t>
  </si>
  <si>
    <r>
      <rPr>
        <sz val="10"/>
        <color indexed="8"/>
        <rFont val="仿宋_GB2312"/>
        <family val="3"/>
        <charset val="134"/>
      </rPr>
      <t>合计</t>
    </r>
    <phoneticPr fontId="13" type="noConversion"/>
  </si>
  <si>
    <r>
      <rPr>
        <sz val="10"/>
        <color indexed="8"/>
        <rFont val="仿宋_GB2312"/>
        <family val="3"/>
        <charset val="134"/>
      </rPr>
      <t>抵押净值</t>
    </r>
    <phoneticPr fontId="13" type="noConversion"/>
  </si>
  <si>
    <r>
      <rPr>
        <sz val="10"/>
        <color indexed="8"/>
        <rFont val="仿宋_GB2312"/>
        <family val="3"/>
        <charset val="134"/>
      </rPr>
      <t>抵押净值单价</t>
    </r>
    <phoneticPr fontId="13" type="noConversion"/>
  </si>
  <si>
    <r>
      <rPr>
        <b/>
        <sz val="10"/>
        <color indexed="8"/>
        <rFont val="仿宋_GB2312"/>
        <family val="3"/>
        <charset val="134"/>
      </rPr>
      <t>处置时需缴纳的相关税费</t>
    </r>
    <phoneticPr fontId="14" type="noConversion"/>
  </si>
  <si>
    <t>土地估价师</t>
  </si>
  <si>
    <t>《国有土地使用证》[]</t>
    <phoneticPr fontId="11" type="noConversion"/>
  </si>
  <si>
    <t>《国有建设用地使用权出让合同》[]及附件、《北京市规划委员会关于同意XX项目的规划设计方案的规划意见复函》[]以及《建设工程规划许可证》[]</t>
    <phoneticPr fontId="11" type="noConversion"/>
  </si>
  <si>
    <t>《国有土地使用证》[]</t>
    <phoneticPr fontId="8" type="noConversion"/>
  </si>
  <si>
    <t>虚线以上为必填</t>
    <phoneticPr fontId="11" type="noConversion"/>
  </si>
  <si>
    <r>
      <rPr>
        <sz val="10"/>
        <color theme="1"/>
        <rFont val="楷体_GB2312"/>
        <family val="3"/>
        <charset val="134"/>
      </rPr>
      <t>范围：</t>
    </r>
    <r>
      <rPr>
        <sz val="10"/>
        <color theme="1"/>
        <rFont val="Arial"/>
        <family val="2"/>
      </rPr>
      <t>3%-5%</t>
    </r>
    <phoneticPr fontId="8" type="noConversion"/>
  </si>
  <si>
    <r>
      <rPr>
        <sz val="10"/>
        <color theme="1"/>
        <rFont val="楷体_GB2312"/>
        <family val="3"/>
        <charset val="134"/>
      </rPr>
      <t>范围：</t>
    </r>
    <r>
      <rPr>
        <sz val="10"/>
        <color theme="1"/>
        <rFont val="Arial"/>
        <family val="2"/>
      </rPr>
      <t>0-10%</t>
    </r>
    <phoneticPr fontId="8" type="noConversion"/>
  </si>
  <si>
    <r>
      <rPr>
        <sz val="10"/>
        <color theme="1"/>
        <rFont val="楷体_GB2312"/>
        <family val="3"/>
        <charset val="134"/>
      </rPr>
      <t>变化</t>
    </r>
    <phoneticPr fontId="8" type="noConversion"/>
  </si>
  <si>
    <r>
      <rPr>
        <sz val="10"/>
        <color theme="1"/>
        <rFont val="楷体_GB2312"/>
        <family val="3"/>
        <charset val="134"/>
      </rPr>
      <t>定值：</t>
    </r>
    <r>
      <rPr>
        <sz val="10"/>
        <color theme="1"/>
        <rFont val="Arial"/>
        <family val="2"/>
      </rPr>
      <t>1.5%</t>
    </r>
    <phoneticPr fontId="8" type="noConversion"/>
  </si>
  <si>
    <r>
      <rPr>
        <sz val="10"/>
        <color theme="1"/>
        <rFont val="楷体_GB2312"/>
        <family val="3"/>
        <charset val="134"/>
      </rPr>
      <t>范围：</t>
    </r>
    <r>
      <rPr>
        <sz val="10"/>
        <color theme="1"/>
        <rFont val="Arial"/>
        <family val="2"/>
      </rPr>
      <t>1%-3%</t>
    </r>
    <phoneticPr fontId="8"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</si>
  <si>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8" type="noConversion"/>
  </si>
  <si>
    <r>
      <rPr>
        <sz val="11"/>
        <color theme="1"/>
        <rFont val="楷体_GB2312"/>
        <family val="3"/>
        <charset val="134"/>
      </rPr>
      <t>北京：</t>
    </r>
    <r>
      <rPr>
        <sz val="11"/>
        <color theme="1"/>
        <rFont val="Arial"/>
        <family val="2"/>
      </rPr>
      <t>3%</t>
    </r>
    <phoneticPr fontId="8" type="noConversion"/>
  </si>
  <si>
    <r>
      <rPr>
        <sz val="11"/>
        <color theme="1"/>
        <rFont val="楷体_GB2312"/>
        <family val="3"/>
        <charset val="134"/>
      </rPr>
      <t>北京：</t>
    </r>
    <r>
      <rPr>
        <sz val="11"/>
        <color theme="1"/>
        <rFont val="Arial"/>
        <family val="2"/>
      </rPr>
      <t>2%</t>
    </r>
    <phoneticPr fontId="8" type="noConversion"/>
  </si>
  <si>
    <t>请录依据文件名称：</t>
    <phoneticPr fontId="8" type="noConversion"/>
  </si>
  <si>
    <r>
      <rPr>
        <sz val="11"/>
        <color indexed="8"/>
        <rFont val="楷体_GB2312"/>
        <family val="3"/>
        <charset val="134"/>
      </rPr>
      <t>北京：</t>
    </r>
    <r>
      <rPr>
        <sz val="11"/>
        <color indexed="8"/>
        <rFont val="Arial"/>
        <family val="2"/>
      </rPr>
      <t>3%</t>
    </r>
    <phoneticPr fontId="8" type="noConversion"/>
  </si>
  <si>
    <r>
      <rPr>
        <sz val="11"/>
        <color indexed="8"/>
        <rFont val="楷体_GB2312"/>
        <family val="3"/>
        <charset val="134"/>
      </rPr>
      <t>北京：</t>
    </r>
    <r>
      <rPr>
        <sz val="11"/>
        <color indexed="8"/>
        <rFont val="Arial"/>
        <family val="2"/>
      </rPr>
      <t>0.05%</t>
    </r>
    <phoneticPr fontId="8" type="noConversion"/>
  </si>
  <si>
    <t>北京</t>
    <phoneticPr fontId="8" type="noConversion"/>
  </si>
  <si>
    <t>其他省市请录依据文件名称：</t>
    <phoneticPr fontId="8" type="noConversion"/>
  </si>
  <si>
    <t>一级</t>
    <phoneticPr fontId="8" type="noConversion"/>
  </si>
  <si>
    <t>二级</t>
    <phoneticPr fontId="8" type="noConversion"/>
  </si>
  <si>
    <t>三级</t>
    <phoneticPr fontId="8" type="noConversion"/>
  </si>
  <si>
    <t>四级</t>
    <phoneticPr fontId="8" type="noConversion"/>
  </si>
  <si>
    <t>五级</t>
    <phoneticPr fontId="8" type="noConversion"/>
  </si>
  <si>
    <t>六级</t>
    <phoneticPr fontId="8" type="noConversion"/>
  </si>
  <si>
    <t>七级</t>
    <phoneticPr fontId="8" type="noConversion"/>
  </si>
  <si>
    <t>八级</t>
    <phoneticPr fontId="8" type="noConversion"/>
  </si>
  <si>
    <t>九级</t>
    <phoneticPr fontId="8" type="noConversion"/>
  </si>
  <si>
    <t>十级</t>
    <phoneticPr fontId="8" type="noConversion"/>
  </si>
  <si>
    <r>
      <rPr>
        <sz val="11"/>
        <color theme="9" tint="-0.249977111117893"/>
        <rFont val="仿宋_GB2312"/>
        <family val="3"/>
        <charset val="134"/>
      </rPr>
      <t>估价对象所在区域基础设施水平</t>
    </r>
    <phoneticPr fontId="8" type="noConversion"/>
  </si>
  <si>
    <r>
      <rPr>
        <sz val="11"/>
        <color theme="9" tint="-0.249977111117893"/>
        <rFont val="仿宋_GB2312"/>
        <family val="3"/>
        <charset val="134"/>
      </rPr>
      <t>估价对象周边道路状况、公共交通通达情况、停车便捷程度，综合评价交通便捷度较好</t>
    </r>
    <phoneticPr fontId="8" type="noConversion"/>
  </si>
  <si>
    <r>
      <rPr>
        <sz val="11"/>
        <color theme="9" tint="-0.249977111117893"/>
        <rFont val="仿宋_GB2312"/>
        <family val="3"/>
        <charset val="134"/>
      </rPr>
      <t>估价对象所在区域公共配套设施齐备情况</t>
    </r>
    <phoneticPr fontId="8" type="noConversion"/>
  </si>
  <si>
    <r>
      <rPr>
        <sz val="11"/>
        <color theme="9" tint="-0.249977111117893"/>
        <rFont val="仿宋_GB2312"/>
        <family val="3"/>
        <charset val="134"/>
      </rPr>
      <t>该园区内是否有污染型企业，绿化情况，卫生条件，整体环境状况判断</t>
    </r>
    <phoneticPr fontId="8"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</si>
  <si>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8" type="noConversion"/>
  </si>
  <si>
    <r>
      <rPr>
        <sz val="10"/>
        <color theme="9" tint="-0.249977111117893"/>
        <rFont val="楷体_GB2312"/>
        <family val="3"/>
        <charset val="134"/>
      </rPr>
      <t>修正项</t>
    </r>
    <r>
      <rPr>
        <sz val="10"/>
        <color theme="9" tint="-0.249977111117893"/>
        <rFont val="Arial"/>
        <family val="2"/>
      </rPr>
      <t>7</t>
    </r>
    <phoneticPr fontId="8" type="noConversion"/>
  </si>
  <si>
    <r>
      <rPr>
        <sz val="10"/>
        <color theme="9" tint="-0.249977111117893"/>
        <rFont val="楷体_GB2312"/>
        <family val="3"/>
        <charset val="134"/>
      </rPr>
      <t>修正项</t>
    </r>
    <r>
      <rPr>
        <sz val="10"/>
        <color theme="9" tint="-0.249977111117893"/>
        <rFont val="Arial"/>
        <family val="2"/>
      </rPr>
      <t>6</t>
    </r>
    <phoneticPr fontId="8" type="noConversion"/>
  </si>
  <si>
    <r>
      <rPr>
        <sz val="10"/>
        <color theme="9" tint="-0.249977111117893"/>
        <rFont val="楷体_GB2312"/>
        <family val="3"/>
        <charset val="134"/>
      </rPr>
      <t>修正项</t>
    </r>
    <r>
      <rPr>
        <sz val="10"/>
        <color theme="9" tint="-0.249977111117893"/>
        <rFont val="Arial"/>
        <family val="2"/>
      </rPr>
      <t>4</t>
    </r>
    <phoneticPr fontId="8" type="noConversion"/>
  </si>
  <si>
    <r>
      <rPr>
        <sz val="10"/>
        <color theme="9" tint="-0.249977111117893"/>
        <rFont val="楷体_GB2312"/>
        <family val="3"/>
        <charset val="134"/>
      </rPr>
      <t>修正项</t>
    </r>
    <r>
      <rPr>
        <sz val="10"/>
        <color theme="9" tint="-0.249977111117893"/>
        <rFont val="Arial"/>
        <family val="2"/>
      </rPr>
      <t>3</t>
    </r>
    <phoneticPr fontId="8" type="noConversion"/>
  </si>
  <si>
    <r>
      <rPr>
        <sz val="10"/>
        <color theme="9" tint="-0.249977111117893"/>
        <rFont val="楷体_GB2312"/>
        <family val="3"/>
        <charset val="134"/>
      </rPr>
      <t>修正项</t>
    </r>
    <r>
      <rPr>
        <sz val="10"/>
        <color theme="9" tint="-0.249977111117893"/>
        <rFont val="Arial"/>
        <family val="2"/>
      </rPr>
      <t>2</t>
    </r>
    <phoneticPr fontId="8" type="noConversion"/>
  </si>
  <si>
    <r>
      <rPr>
        <sz val="11"/>
        <color theme="9" tint="-0.249977111117893"/>
        <rFont val="仿宋_GB2312"/>
        <family val="3"/>
        <charset val="134"/>
      </rPr>
      <t>估价对象名称</t>
    </r>
    <phoneticPr fontId="8"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</si>
  <si>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8"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</si>
  <si>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8"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</si>
  <si>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8" type="noConversion"/>
  </si>
  <si>
    <r>
      <rPr>
        <sz val="11"/>
        <color theme="9" tint="-0.249977111117893"/>
        <rFont val="仿宋_GB2312"/>
        <family val="3"/>
        <charset val="134"/>
      </rPr>
      <t>项目位置</t>
    </r>
    <phoneticPr fontId="8"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</si>
  <si>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</si>
  <si>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8" type="noConversion"/>
  </si>
  <si>
    <t>宗地形状不规则，但对宗地利用影响较小</t>
  </si>
  <si>
    <t>宽度XX米，深度XX米,临街宽度及深度比例适宜程度？对土地利用的影响？</t>
    <phoneticPr fontId="8" type="noConversion"/>
  </si>
  <si>
    <t>宽度XX米，深度XX米,临街宽度及深度比例适宜程度？对土地利用的影响？</t>
    <phoneticPr fontId="8" type="noConversion"/>
  </si>
  <si>
    <r>
      <rPr>
        <sz val="10"/>
        <color theme="9" tint="-0.249977111117893"/>
        <rFont val="楷体_GB2312"/>
        <family val="3"/>
        <charset val="134"/>
      </rPr>
      <t>修正项</t>
    </r>
    <r>
      <rPr>
        <sz val="10"/>
        <color theme="9" tint="-0.249977111117893"/>
        <rFont val="Arial"/>
        <family val="2"/>
      </rPr>
      <t>5</t>
    </r>
    <phoneticPr fontId="8"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</si>
  <si>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</si>
  <si>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t>1.用途</t>
    <phoneticPr fontId="8" type="noConversion"/>
  </si>
  <si>
    <t>残值率</t>
    <phoneticPr fontId="8" type="noConversion"/>
  </si>
  <si>
    <t>总价</t>
  </si>
  <si>
    <t>万元</t>
  </si>
  <si>
    <t>汇总建筑面积</t>
  </si>
  <si>
    <t>估价结果</t>
  </si>
  <si>
    <t>建筑面积</t>
  </si>
  <si>
    <t>基准地价（汇总）</t>
    <phoneticPr fontId="8"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</si>
  <si>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</si>
  <si>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</si>
  <si>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</si>
  <si>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</si>
  <si>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</si>
  <si>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9" type="noConversion"/>
  </si>
  <si>
    <t>综合</t>
    <phoneticPr fontId="8" type="noConversion"/>
  </si>
  <si>
    <t>商服</t>
    <phoneticPr fontId="8" type="noConversion"/>
  </si>
  <si>
    <t>商服</t>
    <phoneticPr fontId="8" type="noConversion"/>
  </si>
  <si>
    <t>住宅</t>
    <phoneticPr fontId="8" type="noConversion"/>
  </si>
  <si>
    <r>
      <rPr>
        <sz val="11"/>
        <color indexed="8"/>
        <rFont val="楷体_GB2312"/>
        <family val="3"/>
        <charset val="134"/>
      </rPr>
      <t>工业</t>
    </r>
    <phoneticPr fontId="8" type="noConversion"/>
  </si>
  <si>
    <t>地下商业不考虑路线价修正</t>
    <phoneticPr fontId="8" type="noConversion"/>
  </si>
  <si>
    <t>建筑物资本化率</t>
    <phoneticPr fontId="66" type="noConversion"/>
  </si>
  <si>
    <t>收益还原法</t>
    <phoneticPr fontId="19" type="noConversion"/>
  </si>
  <si>
    <r>
      <rPr>
        <sz val="10"/>
        <color indexed="8"/>
        <rFont val="仿宋_GB2312"/>
        <family val="3"/>
        <charset val="134"/>
      </rPr>
      <t>收益年期</t>
    </r>
    <r>
      <rPr>
        <sz val="10"/>
        <color indexed="8"/>
        <rFont val="Arial"/>
        <family val="2"/>
      </rPr>
      <t>(n)</t>
    </r>
    <phoneticPr fontId="8" type="noConversion"/>
  </si>
  <si>
    <t>收益年期(n)</t>
    <phoneticPr fontId="8"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</si>
  <si>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8" type="noConversion"/>
  </si>
  <si>
    <t>2017-4</t>
    <phoneticPr fontId="8"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</si>
  <si>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4"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</si>
  <si>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</si>
  <si>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</si>
  <si>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8" type="noConversion"/>
  </si>
  <si>
    <t>前8项之和</t>
    <phoneticPr fontId="20" type="noConversion"/>
  </si>
  <si>
    <t>(1-2-3)/[(1+（(1+利率）^建设期-1）+利润）*（1+契税及印花税率）]</t>
    <phoneticPr fontId="19" type="noConversion"/>
  </si>
  <si>
    <t>押金*一年期存款利率</t>
    <phoneticPr fontId="8" type="noConversion"/>
  </si>
  <si>
    <t>押金*一年期存款利率</t>
    <phoneticPr fontId="8" type="noConversion"/>
  </si>
  <si>
    <t>2018-1</t>
    <phoneticPr fontId="8" type="noConversion"/>
  </si>
  <si>
    <t>楼面地价</t>
    <phoneticPr fontId="233" type="noConversion"/>
  </si>
  <si>
    <t>收益期（按照规范取最低值，住宅取高）</t>
    <phoneticPr fontId="8" type="noConversion"/>
  </si>
  <si>
    <t>2018-3</t>
    <phoneticPr fontId="8" type="noConversion"/>
  </si>
  <si>
    <t>2018-2</t>
    <phoneticPr fontId="8" type="noConversion"/>
  </si>
  <si>
    <t>苏海</t>
    <phoneticPr fontId="8" type="noConversion"/>
  </si>
  <si>
    <t>苏海</t>
    <phoneticPr fontId="8" type="noConversion"/>
  </si>
  <si>
    <r>
      <rPr>
        <sz val="10"/>
        <rFont val="宋体"/>
        <family val="3"/>
        <charset val="134"/>
      </rPr>
      <t>土地还原率</t>
    </r>
    <phoneticPr fontId="8" type="noConversion"/>
  </si>
  <si>
    <r>
      <rPr>
        <sz val="10"/>
        <rFont val="宋体"/>
        <family val="3"/>
        <charset val="134"/>
      </rPr>
      <t>剩余使用年限</t>
    </r>
    <phoneticPr fontId="8" type="noConversion"/>
  </si>
  <si>
    <t>地下车库及仓储年期修正</t>
    <phoneticPr fontId="8" type="noConversion"/>
  </si>
  <si>
    <t>2018-4</t>
    <phoneticPr fontId="8" type="noConversion"/>
  </si>
  <si>
    <t>出让</t>
  </si>
  <si>
    <t>级别开发程度</t>
    <phoneticPr fontId="8" type="noConversion"/>
  </si>
  <si>
    <t>2019-1</t>
    <phoneticPr fontId="8" type="noConversion"/>
  </si>
  <si>
    <t>2019-2</t>
    <phoneticPr fontId="8" type="noConversion"/>
  </si>
  <si>
    <t>按公示增长率计算</t>
  </si>
  <si>
    <t>抵押</t>
  </si>
  <si>
    <t>2019-3</t>
    <phoneticPr fontId="8" type="noConversion"/>
  </si>
  <si>
    <t>2019-4</t>
    <phoneticPr fontId="8" type="noConversion"/>
  </si>
  <si>
    <t>赵璠</t>
    <phoneticPr fontId="8" type="noConversion"/>
  </si>
  <si>
    <t>2019A-027</t>
    <phoneticPr fontId="8" type="noConversion"/>
  </si>
  <si>
    <t>刘俊财</t>
    <phoneticPr fontId="8" type="noConversion"/>
  </si>
  <si>
    <t>2020-1</t>
    <phoneticPr fontId="8" type="noConversion"/>
  </si>
  <si>
    <t>刘俊财</t>
    <phoneticPr fontId="8" type="noConversion"/>
  </si>
  <si>
    <t>土地证</t>
    <phoneticPr fontId="233" type="noConversion"/>
  </si>
  <si>
    <t>证号</t>
    <phoneticPr fontId="233" type="noConversion"/>
  </si>
  <si>
    <t>渝（2017）潼南区不动产权第001268331号</t>
    <phoneticPr fontId="233" type="noConversion"/>
  </si>
  <si>
    <t>权利人</t>
    <phoneticPr fontId="233" type="noConversion"/>
  </si>
  <si>
    <t>重庆盛皇房地产开发有限公司</t>
    <phoneticPr fontId="233" type="noConversion"/>
  </si>
  <si>
    <t>坐落</t>
    <phoneticPr fontId="233" type="noConversion"/>
  </si>
  <si>
    <t>潼南区梓潼街道办凉风垭C2-3-04（1）号地块</t>
    <phoneticPr fontId="233" type="noConversion"/>
  </si>
  <si>
    <t>用途</t>
    <phoneticPr fontId="233" type="noConversion"/>
  </si>
  <si>
    <t>城镇住宅用地</t>
    <phoneticPr fontId="233" type="noConversion"/>
  </si>
  <si>
    <t>面积</t>
    <phoneticPr fontId="233" type="noConversion"/>
  </si>
  <si>
    <t>使用期限</t>
    <phoneticPr fontId="233" type="noConversion"/>
  </si>
  <si>
    <t>土地合同</t>
    <phoneticPr fontId="233" type="noConversion"/>
  </si>
  <si>
    <t>电子监管号</t>
    <phoneticPr fontId="233" type="noConversion"/>
  </si>
  <si>
    <t>5002232013B00907</t>
    <phoneticPr fontId="233" type="noConversion"/>
  </si>
  <si>
    <t>宗地编号</t>
    <phoneticPr fontId="233" type="noConversion"/>
  </si>
  <si>
    <t>TN2013-35</t>
    <phoneticPr fontId="233" type="noConversion"/>
  </si>
  <si>
    <t>宗地面积</t>
    <phoneticPr fontId="233" type="noConversion"/>
  </si>
  <si>
    <t>建筑总面积</t>
    <phoneticPr fontId="233" type="noConversion"/>
  </si>
  <si>
    <t>容积率</t>
    <phoneticPr fontId="233" type="noConversion"/>
  </si>
  <si>
    <t>地价款</t>
    <phoneticPr fontId="233" type="noConversion"/>
  </si>
  <si>
    <t>每平方米地价</t>
    <phoneticPr fontId="23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</si>
  <si>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</si>
  <si>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</si>
  <si>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</si>
  <si>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</si>
  <si>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</si>
  <si>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</si>
  <si>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</si>
  <si>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</si>
  <si>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</si>
  <si>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</si>
  <si>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</si>
  <si>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</si>
  <si>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</si>
  <si>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潼南工业园区南区C6-01-01/03号地块</t>
  </si>
  <si>
    <t>重庆市</t>
  </si>
  <si>
    <t>住宅用地</t>
  </si>
  <si>
    <t>大于1并且小于或等于1.8</t>
  </si>
  <si>
    <t>挂牌</t>
  </si>
  <si>
    <t>2020-01-16</t>
  </si>
  <si>
    <t>重庆市潼南区潼高商业管理有限公司</t>
  </si>
  <si>
    <t>2星</t>
  </si>
  <si>
    <t>2019-12-19</t>
  </si>
  <si>
    <t>重庆市潼南区城市建设投资(集团)有限公司</t>
  </si>
  <si>
    <t>3星</t>
  </si>
  <si>
    <t>潼南金福新区A23号地块</t>
  </si>
  <si>
    <t>潼南金福新区A6号地块</t>
  </si>
  <si>
    <t>潼南金福新区A10号地块</t>
  </si>
  <si>
    <t>潼南金福新区A12号地块</t>
  </si>
  <si>
    <t>大于1并且小于或等于1.5</t>
  </si>
  <si>
    <t>潼南工业园区南区创意大道(规划地块编号:潼南工业园区(南区)F-69-06号地块</t>
  </si>
  <si>
    <t>大于1并且小于或等于2</t>
  </si>
  <si>
    <t>2019-11-13</t>
  </si>
  <si>
    <t>重庆市潼南区工业投资开发(集团)有限公司</t>
  </si>
  <si>
    <t>潼南区梓潼街道大佛寺片区佛缘路(规划编号:潼南大佛寺片区E-59-01/01号地块)</t>
  </si>
  <si>
    <t>大于1并且小于或等于1.2</t>
  </si>
  <si>
    <t>重庆大弘国邦文化旅游发展有限公司</t>
  </si>
  <si>
    <t>潼南区江北新城金佛大桥右侧涪江与人工运河之间(规划地块编号:潼南江北片区B-100-4号地块)</t>
  </si>
  <si>
    <t>综合用地(含住宅)</t>
  </si>
  <si>
    <t>≤2.05</t>
  </si>
  <si>
    <t>拍卖</t>
  </si>
  <si>
    <t>2019-10-10</t>
  </si>
  <si>
    <t>杨芳俊</t>
  </si>
  <si>
    <t>4星</t>
  </si>
  <si>
    <t>江北新城B-26/02号(原编号A2-1)地块</t>
  </si>
  <si>
    <t>大于1并且小于或等于2.3</t>
  </si>
  <si>
    <t>2019-08-13</t>
  </si>
  <si>
    <t>重庆俊豪实业(集团)有限责任公司</t>
  </si>
  <si>
    <t>江北新城C1-1(规划编号江北片区B-2-04/02)号地块</t>
  </si>
  <si>
    <t>2019-08-01</t>
  </si>
  <si>
    <t>重庆泰吉置业集团有限公司</t>
  </si>
  <si>
    <t>江北新城C3-2(规划编号江北片区B-5-01/02)号地块</t>
  </si>
  <si>
    <t>工业园区南区G9-02/01(规划编号E-53-02)地块</t>
  </si>
  <si>
    <t>＞1并且≤1.5</t>
  </si>
  <si>
    <t>2019-06-25</t>
  </si>
  <si>
    <t>重庆市金潼工业建设投资有限公司</t>
  </si>
  <si>
    <t>工业园区南区G9-06/01(规划编号E-52-02)地块</t>
  </si>
  <si>
    <t>工业园区北区B-97-01/01、B-97-02/01(规划编号B-97-03/01、B-97-02/01)地块</t>
  </si>
  <si>
    <t>农广校片区D-27(规划编号组团江南片区分区F-27号)地块</t>
  </si>
  <si>
    <t>＞1并且≤3</t>
  </si>
  <si>
    <t>重庆市潼南区晨天实业有限公司</t>
  </si>
  <si>
    <t>工业园区南区G11-02/01(规划编号E-47)地块</t>
  </si>
  <si>
    <t>组团江北新城分区D7号地块</t>
  </si>
  <si>
    <t>＞1并且≤2</t>
  </si>
  <si>
    <t>2019-02-20</t>
  </si>
  <si>
    <t>恒大地产集团重庆有限公司</t>
  </si>
  <si>
    <t>组团江北新城分区D6-6号地块</t>
  </si>
  <si>
    <t>＞1并且≤2.5</t>
  </si>
  <si>
    <t>组团江北新城分区D3-6号地块</t>
  </si>
  <si>
    <t>江北新城组团两桥片区分区B-92-03/01地块</t>
  </si>
  <si>
    <t>2018-11-20</t>
  </si>
  <si>
    <t>重庆市潼南区涪源商业管理有限公司</t>
  </si>
  <si>
    <t>江北新城组团金福分区A40-01/02地块</t>
  </si>
  <si>
    <t>组团江北新城片区分区A2-3地块</t>
  </si>
  <si>
    <t>朱志轩</t>
  </si>
  <si>
    <t>江北新城组团金福分区A37-01/02地块</t>
  </si>
  <si>
    <t>上和组团分区B-35-1地块</t>
  </si>
  <si>
    <t>≥1并且≤4.4</t>
  </si>
  <si>
    <t>重庆市潼南区佳盛实业有限公司</t>
  </si>
  <si>
    <t>梓潼街道卫星村1社、双江镇五里村6社</t>
  </si>
  <si>
    <t>江北新城组团两桥片区分区B-92-01/01地块</t>
  </si>
  <si>
    <t>江北新城组团金福分区A36-01/02地块</t>
  </si>
  <si>
    <t>江北新城组团两桥片区分区B-93-02/01地块</t>
  </si>
  <si>
    <t>梓潼组团工业园区南区分区C2-01/02、C2-02/02地块</t>
  </si>
  <si>
    <t>＞1并且≤2.6</t>
  </si>
  <si>
    <t>2018-08-10</t>
  </si>
  <si>
    <t>重庆蕴鸥地产有限公司</t>
  </si>
  <si>
    <t>旧城片区分区B-14-03地块</t>
  </si>
  <si>
    <t>≥1并且≤1.85</t>
  </si>
  <si>
    <t>2018-02-06</t>
  </si>
  <si>
    <t>重庆市潼南区八角房地产开发有限公司</t>
  </si>
  <si>
    <t>江南片区分区E7-11-01地块</t>
  </si>
  <si>
    <t>≥1并且≤2</t>
  </si>
  <si>
    <t>2017-12-26</t>
  </si>
  <si>
    <t>重庆市潼南区凯星商业管理有限公司</t>
  </si>
  <si>
    <t>江南片区分区E7-14-01地块</t>
  </si>
  <si>
    <t>梓潼组团旧城分区方碑坡棚户区改造地块</t>
  </si>
  <si>
    <t>大于1并且≤4.36</t>
  </si>
  <si>
    <t>2017-06-02</t>
  </si>
  <si>
    <t>重庆市潼南双龙房地产开发有限公司</t>
  </si>
  <si>
    <t>拿地时间</t>
    <phoneticPr fontId="233" type="noConversion"/>
  </si>
  <si>
    <t>2013.12.30</t>
    <phoneticPr fontId="233" type="noConversion"/>
  </si>
  <si>
    <t>楼面地价</t>
  </si>
  <si>
    <t>住宅</t>
    <phoneticPr fontId="31" type="noConversion"/>
  </si>
  <si>
    <t>高速</t>
    <phoneticPr fontId="31" type="noConversion"/>
  </si>
  <si>
    <t>快速</t>
    <phoneticPr fontId="31" type="noConversion"/>
  </si>
  <si>
    <t>主干道</t>
    <phoneticPr fontId="31" type="noConversion"/>
  </si>
  <si>
    <t>次干道</t>
  </si>
  <si>
    <t>次干道</t>
    <phoneticPr fontId="31" type="noConversion"/>
  </si>
  <si>
    <t>支路</t>
    <phoneticPr fontId="31" type="noConversion"/>
  </si>
  <si>
    <t>光大信托</t>
    <phoneticPr fontId="11" type="noConversion"/>
  </si>
  <si>
    <t>抵押价格</t>
  </si>
  <si>
    <t>其他：</t>
  </si>
  <si>
    <t>重庆市</t>
    <phoneticPr fontId="11" type="noConversion"/>
  </si>
  <si>
    <t>潼南区梓潼街道办凉风垭C2-3-04（1）号地块</t>
    <phoneticPr fontId="11" type="noConversion"/>
  </si>
  <si>
    <t>企业</t>
  </si>
  <si>
    <t>住宅</t>
    <phoneticPr fontId="11" type="noConversion"/>
  </si>
  <si>
    <t>一致</t>
  </si>
  <si>
    <t>2063年12月03日止</t>
    <phoneticPr fontId="233" type="noConversion"/>
  </si>
  <si>
    <t>商业</t>
  </si>
  <si>
    <t>地上</t>
  </si>
  <si>
    <t>较好</t>
  </si>
  <si>
    <t>较好</t>
    <phoneticPr fontId="8" type="noConversion"/>
  </si>
  <si>
    <t>六通</t>
  </si>
  <si>
    <t>次干道</t>
    <phoneticPr fontId="26" type="noConversion"/>
  </si>
  <si>
    <t>土地</t>
  </si>
  <si>
    <t>比较法-住宅、综合</t>
  </si>
  <si>
    <t>剩余法-待开发</t>
  </si>
  <si>
    <t>正常</t>
  </si>
  <si>
    <t>50</t>
    <phoneticPr fontId="31" type="noConversion"/>
  </si>
  <si>
    <t>潼南大道</t>
    <phoneticPr fontId="31" type="noConversion"/>
  </si>
  <si>
    <t>创意大道</t>
    <phoneticPr fontId="31" type="noConversion"/>
  </si>
  <si>
    <t>较规则</t>
  </si>
  <si>
    <t>较规则</t>
    <phoneticPr fontId="31" type="noConversion"/>
  </si>
  <si>
    <t>较好</t>
    <phoneticPr fontId="31" type="noConversion"/>
  </si>
  <si>
    <t>三通</t>
  </si>
  <si>
    <t>三通</t>
    <phoneticPr fontId="31" type="noConversion"/>
  </si>
  <si>
    <t>较适宜</t>
  </si>
  <si>
    <t>较适宜</t>
    <phoneticPr fontId="31" type="noConversion"/>
  </si>
  <si>
    <r>
      <rPr>
        <sz val="10"/>
        <rFont val="微软雅黑"/>
        <family val="2"/>
        <charset val="134"/>
      </rPr>
      <t>潼南金福新区</t>
    </r>
    <r>
      <rPr>
        <sz val="10"/>
        <rFont val="Arial"/>
        <family val="2"/>
      </rPr>
      <t>A8</t>
    </r>
    <r>
      <rPr>
        <sz val="10"/>
        <rFont val="微软雅黑"/>
        <family val="2"/>
        <charset val="134"/>
      </rPr>
      <t>号地块</t>
    </r>
    <phoneticPr fontId="233" type="noConversion"/>
  </si>
  <si>
    <t>产品</t>
    <phoneticPr fontId="233" type="noConversion"/>
  </si>
  <si>
    <t>超高层</t>
    <phoneticPr fontId="233" type="noConversion"/>
  </si>
  <si>
    <t>高层</t>
  </si>
  <si>
    <t>高层</t>
    <phoneticPr fontId="233" type="noConversion"/>
  </si>
  <si>
    <t>公寓</t>
  </si>
  <si>
    <t>公寓</t>
    <phoneticPr fontId="233" type="noConversion"/>
  </si>
  <si>
    <t>商业</t>
    <phoneticPr fontId="233" type="noConversion"/>
  </si>
  <si>
    <t>层数</t>
    <phoneticPr fontId="233" type="noConversion"/>
  </si>
  <si>
    <t>2/3</t>
    <phoneticPr fontId="233" type="noConversion"/>
  </si>
  <si>
    <t>单元数</t>
    <phoneticPr fontId="233" type="noConversion"/>
  </si>
  <si>
    <t>商业街</t>
    <phoneticPr fontId="233" type="noConversion"/>
  </si>
  <si>
    <t>2栋</t>
    <phoneticPr fontId="233" type="noConversion"/>
  </si>
  <si>
    <t>1栋</t>
    <phoneticPr fontId="233" type="noConversion"/>
  </si>
  <si>
    <t>1个单元</t>
    <phoneticPr fontId="233" type="noConversion"/>
  </si>
  <si>
    <t>梯户数</t>
    <phoneticPr fontId="233" type="noConversion"/>
  </si>
  <si>
    <t>3梯6户</t>
    <phoneticPr fontId="233" type="noConversion"/>
  </si>
  <si>
    <t>1梯4户</t>
    <phoneticPr fontId="233" type="noConversion"/>
  </si>
  <si>
    <t>3梯22户</t>
    <phoneticPr fontId="233" type="noConversion"/>
  </si>
  <si>
    <t>单层面积</t>
    <phoneticPr fontId="233" type="noConversion"/>
  </si>
  <si>
    <t>单层户型</t>
    <phoneticPr fontId="233" type="noConversion"/>
  </si>
  <si>
    <t>110㎡（2套）</t>
    <phoneticPr fontId="233" type="noConversion"/>
  </si>
  <si>
    <t>120㎡（2套）</t>
    <phoneticPr fontId="233" type="noConversion"/>
  </si>
  <si>
    <t>130㎡（2套）</t>
    <phoneticPr fontId="233" type="noConversion"/>
  </si>
  <si>
    <t>185㎡（1套）</t>
    <phoneticPr fontId="233" type="noConversion"/>
  </si>
  <si>
    <t>200㎡（2套）</t>
    <phoneticPr fontId="233" type="noConversion"/>
  </si>
  <si>
    <t>215㎡（1套）</t>
    <phoneticPr fontId="233" type="noConversion"/>
  </si>
  <si>
    <t>30㎡（18套）</t>
    <phoneticPr fontId="233" type="noConversion"/>
  </si>
  <si>
    <t>50㎡（4套）</t>
    <phoneticPr fontId="233" type="noConversion"/>
  </si>
  <si>
    <t>总户数</t>
    <phoneticPr fontId="233" type="noConversion"/>
  </si>
  <si>
    <t>合计</t>
    <phoneticPr fontId="233" type="noConversion"/>
  </si>
  <si>
    <t>不动产收益法</t>
  </si>
  <si>
    <t>较好</t>
    <phoneticPr fontId="26" type="noConversion"/>
  </si>
  <si>
    <t>押一</t>
  </si>
  <si>
    <t>按租金收入计税</t>
  </si>
  <si>
    <t>钢混</t>
  </si>
  <si>
    <t>潼南恒大绿洲</t>
    <phoneticPr fontId="233" type="noConversion"/>
  </si>
  <si>
    <t>高层均价5000</t>
    <phoneticPr fontId="233" type="noConversion"/>
  </si>
  <si>
    <t>洋房均价6000-7000</t>
    <phoneticPr fontId="233" type="noConversion"/>
  </si>
  <si>
    <t>带装修</t>
    <phoneticPr fontId="233" type="noConversion"/>
  </si>
  <si>
    <t>潼南新鸥鹏教育城</t>
    <phoneticPr fontId="233" type="noConversion"/>
  </si>
  <si>
    <t>高层均价5400</t>
    <phoneticPr fontId="233" type="noConversion"/>
  </si>
  <si>
    <t>洋房均价7000-9000</t>
    <phoneticPr fontId="233" type="noConversion"/>
  </si>
  <si>
    <t>毛坯</t>
    <phoneticPr fontId="233" type="noConversion"/>
  </si>
  <si>
    <t>潼南隆鑫·中央大街</t>
    <phoneticPr fontId="233" type="noConversion"/>
  </si>
  <si>
    <t>1层</t>
    <phoneticPr fontId="233" type="noConversion"/>
  </si>
  <si>
    <t>2层</t>
    <phoneticPr fontId="233" type="noConversion"/>
  </si>
  <si>
    <t>3层</t>
    <phoneticPr fontId="233" type="noConversion"/>
  </si>
  <si>
    <t>楼层</t>
    <phoneticPr fontId="233" type="noConversion"/>
  </si>
  <si>
    <t>系数</t>
    <phoneticPr fontId="233" type="noConversion"/>
  </si>
  <si>
    <t>租金</t>
    <phoneticPr fontId="233" type="noConversion"/>
  </si>
  <si>
    <t>土地（套用方法）</t>
  </si>
  <si>
    <t xml:space="preserve"> </t>
    <phoneticPr fontId="26" type="noConversion"/>
  </si>
  <si>
    <t>建设工程规划许可证</t>
    <phoneticPr fontId="233" type="noConversion"/>
  </si>
  <si>
    <t>编号</t>
    <phoneticPr fontId="233" type="noConversion"/>
  </si>
  <si>
    <t>建字第500152201900583号</t>
    <phoneticPr fontId="233" type="noConversion"/>
  </si>
  <si>
    <t>建设单位</t>
    <phoneticPr fontId="233" type="noConversion"/>
  </si>
  <si>
    <t>重庆盛皇房地产开发有限公司</t>
    <phoneticPr fontId="233" type="noConversion"/>
  </si>
  <si>
    <t>建设项目名称</t>
    <phoneticPr fontId="233" type="noConversion"/>
  </si>
  <si>
    <t>鹏润·悦秀天宸二期</t>
    <phoneticPr fontId="233" type="noConversion"/>
  </si>
  <si>
    <t>建设位置</t>
    <phoneticPr fontId="233" type="noConversion"/>
  </si>
  <si>
    <t>潼南区梓潼街道办凉风垭C2-3-04（1）</t>
    <phoneticPr fontId="233" type="noConversion"/>
  </si>
  <si>
    <t>建设规模</t>
    <phoneticPr fontId="233" type="noConversion"/>
  </si>
  <si>
    <t>167887.58平方米</t>
    <phoneticPr fontId="233" type="noConversion"/>
  </si>
  <si>
    <t>经济技术指标</t>
    <phoneticPr fontId="233" type="noConversion"/>
  </si>
  <si>
    <t>（一）按功能性质划分</t>
    <phoneticPr fontId="233" type="noConversion"/>
  </si>
  <si>
    <t>包含商业及办公</t>
    <phoneticPr fontId="233" type="noConversion"/>
  </si>
  <si>
    <t>门岗</t>
    <phoneticPr fontId="233" type="noConversion"/>
  </si>
  <si>
    <t>地下车库及设备用房</t>
    <phoneticPr fontId="233" type="noConversion"/>
  </si>
  <si>
    <t>（二）按地上地下部分划分</t>
    <phoneticPr fontId="233" type="noConversion"/>
  </si>
  <si>
    <t>一、建设用地面积</t>
    <phoneticPr fontId="233" type="noConversion"/>
  </si>
  <si>
    <t>二、居住户（套）数</t>
    <phoneticPr fontId="233" type="noConversion"/>
  </si>
  <si>
    <t>三、居住人数</t>
    <phoneticPr fontId="233" type="noConversion"/>
  </si>
  <si>
    <t>四、总建筑面积</t>
    <phoneticPr fontId="233" type="noConversion"/>
  </si>
  <si>
    <t>五、停车泊位</t>
    <phoneticPr fontId="233" type="noConversion"/>
  </si>
  <si>
    <t xml:space="preserve">  室外（辆）</t>
    <phoneticPr fontId="233" type="noConversion"/>
  </si>
  <si>
    <t xml:space="preserve">  室内（辆）</t>
    <phoneticPr fontId="233" type="noConversion"/>
  </si>
  <si>
    <t xml:space="preserve">  地上建筑面积</t>
    <phoneticPr fontId="233" type="noConversion"/>
  </si>
  <si>
    <t xml:space="preserve">  地下建筑面积</t>
    <phoneticPr fontId="233" type="noConversion"/>
  </si>
  <si>
    <t xml:space="preserve"> 住宅建筑面积</t>
    <phoneticPr fontId="233" type="noConversion"/>
  </si>
  <si>
    <t xml:space="preserve"> 公建建筑面积</t>
    <phoneticPr fontId="233" type="noConversion"/>
  </si>
  <si>
    <t xml:space="preserve"> 配套设施建筑面积</t>
    <phoneticPr fontId="233" type="noConversion"/>
  </si>
  <si>
    <t xml:space="preserve"> 地下车库及设备用房</t>
    <phoneticPr fontId="233" type="noConversion"/>
  </si>
  <si>
    <t xml:space="preserve"> 地上设备用房</t>
    <phoneticPr fontId="233" type="noConversion"/>
  </si>
  <si>
    <t xml:space="preserve"> 其他</t>
    <phoneticPr fontId="233" type="noConversion"/>
  </si>
  <si>
    <t xml:space="preserve">   物管用房</t>
    <phoneticPr fontId="233" type="noConversion"/>
  </si>
  <si>
    <t xml:space="preserve">   公厕</t>
    <phoneticPr fontId="233" type="noConversion"/>
  </si>
  <si>
    <t xml:space="preserve">   社区服务用房</t>
    <phoneticPr fontId="233" type="noConversion"/>
  </si>
  <si>
    <t xml:space="preserve">   门岗</t>
    <phoneticPr fontId="233" type="noConversion"/>
  </si>
  <si>
    <t xml:space="preserve">   消防控制室</t>
    <phoneticPr fontId="233" type="noConversion"/>
  </si>
  <si>
    <t xml:space="preserve">   车库</t>
    <phoneticPr fontId="233" type="noConversion"/>
  </si>
  <si>
    <t xml:space="preserve">   设备用房</t>
    <phoneticPr fontId="233" type="noConversion"/>
  </si>
  <si>
    <t>六、容积率</t>
    <phoneticPr fontId="233" type="noConversion"/>
  </si>
  <si>
    <t>计入容积率面积</t>
    <phoneticPr fontId="233" type="noConversion"/>
  </si>
  <si>
    <t>其中：住宅计容建筑面积</t>
    <phoneticPr fontId="233" type="noConversion"/>
  </si>
  <si>
    <t>七、建筑密度</t>
    <phoneticPr fontId="233" type="noConversion"/>
  </si>
  <si>
    <t xml:space="preserve"> 建筑物占地面积</t>
    <phoneticPr fontId="233" type="noConversion"/>
  </si>
  <si>
    <t>八、绿地率</t>
    <phoneticPr fontId="233" type="noConversion"/>
  </si>
  <si>
    <t xml:space="preserve"> 绿地面积</t>
    <phoneticPr fontId="233" type="noConversion"/>
  </si>
  <si>
    <t>1#公寓</t>
    <phoneticPr fontId="233" type="noConversion"/>
  </si>
  <si>
    <t>2#住宅</t>
    <phoneticPr fontId="233" type="noConversion"/>
  </si>
  <si>
    <t>3#住宅</t>
    <phoneticPr fontId="233" type="noConversion"/>
  </si>
  <si>
    <t>商业</t>
    <phoneticPr fontId="233" type="noConversion"/>
  </si>
  <si>
    <t>住宅</t>
    <phoneticPr fontId="8" type="noConversion"/>
  </si>
  <si>
    <t>商业</t>
    <phoneticPr fontId="8" type="noConversion"/>
  </si>
  <si>
    <t>裙房</t>
    <phoneticPr fontId="233" type="noConversion"/>
  </si>
  <si>
    <t>1层</t>
    <phoneticPr fontId="233" type="noConversion"/>
  </si>
  <si>
    <t>办公</t>
    <phoneticPr fontId="233" type="noConversion"/>
  </si>
  <si>
    <t>总建筑面积</t>
    <phoneticPr fontId="233" type="noConversion"/>
  </si>
  <si>
    <t>2层</t>
    <phoneticPr fontId="233" type="noConversion"/>
  </si>
  <si>
    <t>架空层</t>
    <phoneticPr fontId="233" type="noConversion"/>
  </si>
  <si>
    <t>3层</t>
    <phoneticPr fontId="233" type="noConversion"/>
  </si>
  <si>
    <t>塔楼</t>
    <phoneticPr fontId="233" type="noConversion"/>
  </si>
  <si>
    <t>4-15层</t>
    <phoneticPr fontId="233" type="noConversion"/>
  </si>
  <si>
    <t>16层</t>
    <phoneticPr fontId="233" type="noConversion"/>
  </si>
  <si>
    <t>楼顶层</t>
    <phoneticPr fontId="233" type="noConversion"/>
  </si>
  <si>
    <t>梯帽</t>
    <phoneticPr fontId="233" type="noConversion"/>
  </si>
  <si>
    <t>计容建面</t>
    <phoneticPr fontId="233" type="noConversion"/>
  </si>
  <si>
    <t>机房层</t>
    <phoneticPr fontId="233" type="noConversion"/>
  </si>
  <si>
    <t>机房</t>
    <phoneticPr fontId="233" type="noConversion"/>
  </si>
  <si>
    <t>部位</t>
    <phoneticPr fontId="233" type="noConversion"/>
  </si>
  <si>
    <t>部位编号</t>
    <phoneticPr fontId="233" type="noConversion"/>
  </si>
  <si>
    <t>主要功能</t>
    <phoneticPr fontId="233" type="noConversion"/>
  </si>
  <si>
    <t>合计</t>
    <phoneticPr fontId="233" type="noConversion"/>
  </si>
  <si>
    <t>栋号</t>
    <phoneticPr fontId="233" type="noConversion"/>
  </si>
  <si>
    <t>商业</t>
    <phoneticPr fontId="233" type="noConversion"/>
  </si>
  <si>
    <t>地下</t>
  </si>
  <si>
    <t>地下</t>
    <phoneticPr fontId="233" type="noConversion"/>
  </si>
  <si>
    <t>负1层</t>
    <phoneticPr fontId="233" type="noConversion"/>
  </si>
  <si>
    <t>商业仓库</t>
    <phoneticPr fontId="233" type="noConversion"/>
  </si>
  <si>
    <t>设备用房</t>
    <phoneticPr fontId="233" type="noConversion"/>
  </si>
  <si>
    <t>消防控制室</t>
    <phoneticPr fontId="233" type="noConversion"/>
  </si>
  <si>
    <t>物管用房</t>
    <phoneticPr fontId="233" type="noConversion"/>
  </si>
  <si>
    <t>4层</t>
    <phoneticPr fontId="233" type="noConversion"/>
  </si>
  <si>
    <t>地上</t>
    <phoneticPr fontId="233" type="noConversion"/>
  </si>
  <si>
    <t>地下车库及设备用房</t>
    <phoneticPr fontId="233" type="noConversion"/>
  </si>
  <si>
    <t>车库</t>
  </si>
  <si>
    <t>车库</t>
    <phoneticPr fontId="233" type="noConversion"/>
  </si>
  <si>
    <t>负2层</t>
    <phoneticPr fontId="233" type="noConversion"/>
  </si>
  <si>
    <t>负3层</t>
    <phoneticPr fontId="233" type="noConversion"/>
  </si>
  <si>
    <t>居住</t>
    <phoneticPr fontId="233" type="noConversion"/>
  </si>
  <si>
    <t>5-15层</t>
    <phoneticPr fontId="233" type="noConversion"/>
  </si>
  <si>
    <t>17-30层</t>
    <phoneticPr fontId="233" type="noConversion"/>
  </si>
  <si>
    <t>31层</t>
    <phoneticPr fontId="233" type="noConversion"/>
  </si>
  <si>
    <t>32-41层</t>
    <phoneticPr fontId="233" type="noConversion"/>
  </si>
  <si>
    <t>42层</t>
    <phoneticPr fontId="233" type="noConversion"/>
  </si>
  <si>
    <t>物管用房</t>
    <phoneticPr fontId="8" type="noConversion"/>
  </si>
  <si>
    <t>设备用房</t>
    <phoneticPr fontId="8" type="noConversion"/>
  </si>
  <si>
    <r>
      <rPr>
        <sz val="11"/>
        <color theme="1"/>
        <rFont val="Microsoft YaHei UI"/>
        <family val="2"/>
        <charset val="134"/>
      </rPr>
      <t>不动产收益法</t>
    </r>
    <r>
      <rPr>
        <sz val="11"/>
        <color theme="1"/>
        <rFont val="Arial"/>
        <family val="2"/>
      </rPr>
      <t xml:space="preserve"> (</t>
    </r>
    <r>
      <rPr>
        <sz val="11"/>
        <color theme="1"/>
        <rFont val="Microsoft YaHei UI"/>
        <family val="2"/>
        <charset val="134"/>
      </rPr>
      <t>车库</t>
    </r>
    <r>
      <rPr>
        <sz val="11"/>
        <color theme="1"/>
        <rFont val="Arial"/>
        <family val="2"/>
      </rPr>
      <t>)</t>
    </r>
    <phoneticPr fontId="19" type="noConversion"/>
  </si>
  <si>
    <t>不动产收益法 (车库)</t>
  </si>
  <si>
    <t>车库</t>
    <phoneticPr fontId="8" type="noConversion"/>
  </si>
  <si>
    <t>售价</t>
  </si>
  <si>
    <t>悦秀天宸</t>
    <phoneticPr fontId="8" type="noConversion"/>
  </si>
  <si>
    <t>住宅</t>
    <phoneticPr fontId="26" type="noConversion"/>
  </si>
  <si>
    <t>30-40（含）</t>
  </si>
  <si>
    <t>40-50（含）</t>
  </si>
  <si>
    <t>潼南恒大绿洲</t>
    <phoneticPr fontId="8" type="noConversion"/>
  </si>
  <si>
    <t>高速</t>
    <phoneticPr fontId="26" type="noConversion"/>
  </si>
  <si>
    <t>快速</t>
    <phoneticPr fontId="26" type="noConversion"/>
  </si>
  <si>
    <t>主干道</t>
    <phoneticPr fontId="26" type="noConversion"/>
  </si>
  <si>
    <t>次干道</t>
    <phoneticPr fontId="26" type="noConversion"/>
  </si>
  <si>
    <t>支路</t>
    <phoneticPr fontId="26" type="noConversion"/>
  </si>
  <si>
    <t>高层</t>
    <phoneticPr fontId="26" type="noConversion"/>
  </si>
  <si>
    <t>钢混</t>
    <phoneticPr fontId="26" type="noConversion"/>
  </si>
  <si>
    <t>高档</t>
  </si>
  <si>
    <t>高档</t>
    <phoneticPr fontId="26" type="noConversion"/>
  </si>
  <si>
    <t>普通</t>
    <phoneticPr fontId="26" type="noConversion"/>
  </si>
  <si>
    <t>精装</t>
  </si>
  <si>
    <t>精装</t>
    <phoneticPr fontId="26" type="noConversion"/>
  </si>
  <si>
    <t>普装</t>
    <phoneticPr fontId="26" type="noConversion"/>
  </si>
  <si>
    <t>简装</t>
    <phoneticPr fontId="26" type="noConversion"/>
  </si>
  <si>
    <t>毛坯</t>
  </si>
  <si>
    <t>毛坯</t>
    <phoneticPr fontId="26" type="noConversion"/>
  </si>
  <si>
    <t>专业</t>
  </si>
  <si>
    <t>专业</t>
    <phoneticPr fontId="26" type="noConversion"/>
  </si>
  <si>
    <t>三通</t>
    <phoneticPr fontId="26" type="noConversion"/>
  </si>
  <si>
    <t>玮益上城华府</t>
    <phoneticPr fontId="8" type="noConversion"/>
  </si>
  <si>
    <t>一般</t>
  </si>
  <si>
    <t>一般</t>
    <phoneticPr fontId="8" type="noConversion"/>
  </si>
  <si>
    <t>中高档</t>
    <phoneticPr fontId="26" type="noConversion"/>
  </si>
  <si>
    <t>中档</t>
    <phoneticPr fontId="26" type="noConversion"/>
  </si>
  <si>
    <t>中低档</t>
    <phoneticPr fontId="26" type="noConversion"/>
  </si>
  <si>
    <t>低档</t>
    <phoneticPr fontId="26" type="noConversion"/>
  </si>
  <si>
    <t>洋房</t>
    <phoneticPr fontId="26" type="noConversion"/>
  </si>
  <si>
    <t>小高层</t>
    <phoneticPr fontId="26" type="noConversion"/>
  </si>
  <si>
    <t>超高层、公寓</t>
  </si>
  <si>
    <t>超高层、公寓</t>
    <phoneticPr fontId="26" type="noConversion"/>
  </si>
  <si>
    <t>平层</t>
    <phoneticPr fontId="26" type="noConversion"/>
  </si>
  <si>
    <t>潼南云廷檀香山</t>
    <phoneticPr fontId="8" type="noConversion"/>
  </si>
  <si>
    <t>60-70（含）</t>
  </si>
  <si>
    <t>商业</t>
    <phoneticPr fontId="31" type="noConversion"/>
  </si>
  <si>
    <t>多面临街</t>
    <phoneticPr fontId="31" type="noConversion"/>
  </si>
  <si>
    <t>双面临街</t>
    <phoneticPr fontId="31" type="noConversion"/>
  </si>
  <si>
    <t>单面临街</t>
    <phoneticPr fontId="31" type="noConversion"/>
  </si>
  <si>
    <t>不临街</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</si>
  <si>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</si>
  <si>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</si>
  <si>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</si>
  <si>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</si>
  <si>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</si>
  <si>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大</t>
    <phoneticPr fontId="31" type="noConversion"/>
  </si>
  <si>
    <t>较大</t>
    <phoneticPr fontId="31" type="noConversion"/>
  </si>
  <si>
    <t>较小</t>
    <phoneticPr fontId="31" type="noConversion"/>
  </si>
  <si>
    <t>小</t>
    <phoneticPr fontId="31" type="noConversion"/>
  </si>
  <si>
    <t>商业街</t>
    <phoneticPr fontId="31" type="noConversion"/>
  </si>
  <si>
    <t>独立商业</t>
    <phoneticPr fontId="31" type="noConversion"/>
  </si>
  <si>
    <t>住宅底商</t>
    <phoneticPr fontId="31" type="noConversion"/>
  </si>
  <si>
    <t>红心美凯龙</t>
    <phoneticPr fontId="8" type="noConversion"/>
  </si>
  <si>
    <t>时代广场</t>
    <phoneticPr fontId="8" type="noConversion"/>
  </si>
  <si>
    <t>精装</t>
    <phoneticPr fontId="31" type="noConversion"/>
  </si>
  <si>
    <t>普装</t>
    <phoneticPr fontId="31" type="noConversion"/>
  </si>
  <si>
    <t>简装</t>
    <phoneticPr fontId="31" type="noConversion"/>
  </si>
  <si>
    <t>毛坯</t>
    <phoneticPr fontId="31" type="noConversion"/>
  </si>
  <si>
    <t>公寓</t>
    <phoneticPr fontId="8" type="noConversion"/>
  </si>
  <si>
    <t>负1层</t>
    <phoneticPr fontId="233" type="noConversion"/>
  </si>
  <si>
    <t>1层</t>
    <phoneticPr fontId="233" type="noConversion"/>
  </si>
  <si>
    <t>明细</t>
    <phoneticPr fontId="233" type="noConversion"/>
  </si>
  <si>
    <t>分摊</t>
    <phoneticPr fontId="233" type="noConversion"/>
  </si>
  <si>
    <t>综合系数</t>
    <phoneticPr fontId="233" type="noConversion"/>
  </si>
  <si>
    <t>估价对象</t>
  </si>
  <si>
    <t>项目类型</t>
  </si>
  <si>
    <t>出让国有建设用地使用权面积（平方米）</t>
  </si>
  <si>
    <t>规划建筑面积（平方米）</t>
  </si>
  <si>
    <r>
      <t>C2-3-04</t>
    </r>
    <r>
      <rPr>
        <sz val="9"/>
        <color rgb="FF000000"/>
        <rFont val="宋体"/>
        <family val="3"/>
        <charset val="134"/>
      </rPr>
      <t>（</t>
    </r>
    <r>
      <rPr>
        <sz val="9"/>
        <color rgb="FF000000"/>
        <rFont val="Arial"/>
        <family val="2"/>
      </rPr>
      <t>1</t>
    </r>
    <r>
      <rPr>
        <sz val="9"/>
        <color rgb="FF000000"/>
        <rFont val="宋体"/>
        <family val="3"/>
        <charset val="134"/>
      </rPr>
      <t>）号地块</t>
    </r>
  </si>
  <si>
    <t>物管用房</t>
  </si>
  <si>
    <t>平层</t>
  </si>
  <si>
    <t>http://www.cqsgczjxx.org/Zjzszb/Index.aspx</t>
    <phoneticPr fontId="8" type="noConversion"/>
  </si>
  <si>
    <t>重庆市建设工程造价管理网站</t>
    <phoneticPr fontId="8" type="noConversion"/>
  </si>
  <si>
    <t>重庆市2019年四季度建筑工程单方造价指标</t>
    <phoneticPr fontId="8" type="noConversion"/>
  </si>
  <si>
    <t>序号</t>
    <phoneticPr fontId="8" type="noConversion"/>
  </si>
  <si>
    <t>工程类型</t>
    <phoneticPr fontId="8" type="noConversion"/>
  </si>
  <si>
    <t>单方造价</t>
    <phoneticPr fontId="8" type="noConversion"/>
  </si>
  <si>
    <t>高层住宅</t>
    <phoneticPr fontId="8" type="noConversion"/>
  </si>
  <si>
    <t>1450～1610</t>
    <phoneticPr fontId="8" type="noConversion"/>
  </si>
  <si>
    <t>超高层住宅</t>
    <phoneticPr fontId="8" type="noConversion"/>
  </si>
  <si>
    <t>1650～1920</t>
    <phoneticPr fontId="8" type="noConversion"/>
  </si>
  <si>
    <t>洋房</t>
    <phoneticPr fontId="8" type="noConversion"/>
  </si>
  <si>
    <t>1730～1920</t>
    <phoneticPr fontId="8" type="noConversion"/>
  </si>
  <si>
    <t>叠拼别墅</t>
    <phoneticPr fontId="8" type="noConversion"/>
  </si>
  <si>
    <t>2030～2250</t>
    <phoneticPr fontId="8" type="noConversion"/>
  </si>
  <si>
    <t>独栋别墅</t>
    <phoneticPr fontId="8" type="noConversion"/>
  </si>
  <si>
    <t>2360～2610</t>
    <phoneticPr fontId="8" type="noConversion"/>
  </si>
  <si>
    <t>综合楼</t>
    <phoneticPr fontId="8" type="noConversion"/>
  </si>
  <si>
    <t>2750～3040</t>
    <phoneticPr fontId="8" type="noConversion"/>
  </si>
  <si>
    <t>教学楼</t>
    <phoneticPr fontId="8" type="noConversion"/>
  </si>
  <si>
    <t>1620～1790</t>
    <phoneticPr fontId="8" type="noConversion"/>
  </si>
  <si>
    <t>厂房</t>
    <phoneticPr fontId="8" type="noConversion"/>
  </si>
  <si>
    <t>1530～1790</t>
    <phoneticPr fontId="8" type="noConversion"/>
  </si>
  <si>
    <t>1.单方造价包括了基础，基础形式综合考虑，不包括二次精装修及水电安装内容。</t>
    <phoneticPr fontId="8" type="noConversion"/>
  </si>
  <si>
    <t>2.本单方造价指标适用于渝中区、江北区、沙坪坝区、南岸区、九龙坡区、大渡口区、北碚区、渝北区、巴南区、两江新区、经开区、高新区。</t>
    <phoneticPr fontId="8" type="noConversion"/>
  </si>
  <si>
    <t>备注：</t>
    <phoneticPr fontId="8" type="noConversion"/>
  </si>
  <si>
    <t>商住公寓价格低于普通住宅？通过周边其他区域调查</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</si>
</sst>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97">
    <font>
      <sz val="11"/>
      <color theme="1"/>
      <name val="宋体"/>
      <charset val="134"/>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name val="宋体"/>
      <family val="2"/>
      <charset val="134"/>
    </font>
    <font>
      <sz val="11"/>
      <color rgb="FF000000"/>
      <name val="宋体"/>
      <family val="2"/>
      <charset val="134"/>
    </font>
    <font>
      <sz val="12"/>
      <color rgb="FF000000"/>
      <name val="Microsoft YaHei UI"/>
      <family val="3"/>
      <charset val="134"/>
    </font>
    <font>
      <sz val="12"/>
      <color theme="9" tint="-0.249977111117893"/>
      <name val="宋体"/>
      <family val="3"/>
      <charset val="134"/>
    </font>
    <font>
      <sz val="11"/>
      <color theme="9" tint="-0.249977111117893"/>
      <name val="宋体"/>
      <family val="3"/>
      <charset val="134"/>
    </font>
    <font>
      <sz val="11"/>
      <color theme="9" tint="-0.249977111117893"/>
      <name val="宋体"/>
      <family val="2"/>
      <charset val="134"/>
    </font>
    <font>
      <sz val="11"/>
      <color rgb="FF000000"/>
      <name val="宋体"/>
      <family val="3"/>
      <charset val="134"/>
    </font>
    <font>
      <sz val="10"/>
      <name val="微软雅黑"/>
      <family val="2"/>
      <charset val="134"/>
    </font>
    <font>
      <sz val="10"/>
      <name val="Arial"/>
      <family val="2"/>
      <charset val="134"/>
    </font>
    <font>
      <sz val="10"/>
      <color rgb="FF000000"/>
      <name val="Microsoft YaHei UI"/>
      <family val="3"/>
      <charset val="134"/>
    </font>
    <font>
      <sz val="12"/>
      <color theme="1"/>
      <name val="宋体"/>
      <family val="3"/>
      <charset val="134"/>
    </font>
    <font>
      <sz val="11"/>
      <color theme="1"/>
      <name val="Microsoft YaHei UI"/>
      <family val="2"/>
      <charset val="134"/>
    </font>
    <font>
      <sz val="11"/>
      <color theme="1"/>
      <name val="Arial"/>
      <family val="2"/>
      <charset val="134"/>
    </font>
    <font>
      <sz val="9"/>
      <color rgb="FF000000"/>
      <name val="STXihei"/>
      <family val="1"/>
    </font>
    <font>
      <sz val="9"/>
      <color rgb="FF000000"/>
      <name val="Arial"/>
      <family val="2"/>
    </font>
    <font>
      <sz val="9"/>
      <color rgb="FF000000"/>
      <name val="宋体"/>
      <family val="3"/>
      <charset val="134"/>
    </font>
    <font>
      <b/>
      <sz val="9"/>
      <color rgb="FF000000"/>
      <name val="STXihei"/>
      <charset val="134"/>
    </font>
    <font>
      <b/>
      <sz val="9"/>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00B0F0"/>
        <bgColor indexed="64"/>
      </patternFill>
    </fill>
  </fills>
  <borders count="1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404040"/>
      </left>
      <right style="medium">
        <color rgb="FF404040"/>
      </right>
      <top style="medium">
        <color rgb="FF404040"/>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style="medium">
        <color rgb="FF404040"/>
      </right>
      <top/>
      <bottom/>
      <diagonal/>
    </border>
    <border>
      <left style="medium">
        <color rgb="FF404040"/>
      </left>
      <right/>
      <top/>
      <bottom style="medium">
        <color rgb="FF404040"/>
      </bottom>
      <diagonal/>
    </border>
    <border>
      <left style="medium">
        <color rgb="FF404040"/>
      </left>
      <right/>
      <top style="medium">
        <color rgb="FF404040"/>
      </top>
      <bottom style="medium">
        <color rgb="FF404040"/>
      </bottom>
      <diagonal/>
    </border>
  </borders>
  <cellStyleXfs count="18">
    <xf numFmtId="0" fontId="0" fillId="0" borderId="0">
      <alignment vertical="center"/>
    </xf>
    <xf numFmtId="0" fontId="150" fillId="0" borderId="0">
      <alignment vertical="center"/>
    </xf>
    <xf numFmtId="0" fontId="150" fillId="0" borderId="0">
      <alignment vertical="center"/>
    </xf>
    <xf numFmtId="0" fontId="150" fillId="0" borderId="0">
      <alignment vertical="center"/>
    </xf>
    <xf numFmtId="0" fontId="150" fillId="0" borderId="0"/>
    <xf numFmtId="0" fontId="150" fillId="0" borderId="0">
      <alignment vertical="center"/>
    </xf>
    <xf numFmtId="0" fontId="37" fillId="0" borderId="0"/>
    <xf numFmtId="0" fontId="150" fillId="0" borderId="0">
      <alignment vertical="center"/>
    </xf>
    <xf numFmtId="0" fontId="150" fillId="0" borderId="0"/>
    <xf numFmtId="0" fontId="150" fillId="0" borderId="0">
      <alignment vertical="center"/>
    </xf>
    <xf numFmtId="0" fontId="7" fillId="0" borderId="0">
      <alignment vertical="center"/>
    </xf>
    <xf numFmtId="9" fontId="37" fillId="0" borderId="0" applyFont="0" applyFill="0" applyBorder="0" applyAlignment="0" applyProtection="0">
      <alignment vertical="center"/>
    </xf>
    <xf numFmtId="0" fontId="150" fillId="0" borderId="0">
      <alignment vertical="center"/>
    </xf>
    <xf numFmtId="0" fontId="6" fillId="0" borderId="0">
      <alignment vertical="center"/>
    </xf>
    <xf numFmtId="0" fontId="261" fillId="0" borderId="0"/>
    <xf numFmtId="0" fontId="6" fillId="0" borderId="0">
      <alignment vertical="center"/>
    </xf>
    <xf numFmtId="0" fontId="5" fillId="0" borderId="0"/>
    <xf numFmtId="0" fontId="91" fillId="0" borderId="0"/>
  </cellStyleXfs>
  <cellXfs count="3628">
    <xf numFmtId="0" fontId="0" fillId="0" borderId="0" xfId="0">
      <alignment vertical="center"/>
    </xf>
    <xf numFmtId="0" fontId="22" fillId="5" borderId="1" xfId="0" applyFont="1" applyFill="1" applyBorder="1" applyAlignment="1" applyProtection="1">
      <alignment horizontal="center" vertical="center" wrapText="1"/>
    </xf>
    <xf numFmtId="0" fontId="0" fillId="0" borderId="0" xfId="0" applyAlignment="1">
      <alignment vertical="center" wrapText="1"/>
    </xf>
    <xf numFmtId="0" fontId="153" fillId="0" borderId="2" xfId="0" applyFont="1" applyBorder="1" applyAlignment="1">
      <alignment vertical="center" wrapText="1"/>
    </xf>
    <xf numFmtId="0" fontId="153" fillId="0" borderId="2" xfId="0" applyFont="1" applyBorder="1" applyAlignment="1">
      <alignment horizontal="center" vertical="center" wrapText="1"/>
    </xf>
    <xf numFmtId="0" fontId="154" fillId="5" borderId="3" xfId="0" applyFont="1" applyFill="1" applyBorder="1" applyAlignment="1" applyProtection="1">
      <alignment horizontal="center" vertical="center" wrapText="1"/>
    </xf>
    <xf numFmtId="0" fontId="154" fillId="5" borderId="0" xfId="0" applyFont="1" applyFill="1" applyAlignment="1" applyProtection="1">
      <alignment horizontal="center" vertical="center" wrapText="1"/>
    </xf>
    <xf numFmtId="0" fontId="79" fillId="5" borderId="0" xfId="0" applyNumberFormat="1" applyFont="1" applyFill="1" applyBorder="1" applyAlignment="1" applyProtection="1">
      <alignment horizontal="center" vertical="center" wrapText="1"/>
    </xf>
    <xf numFmtId="0" fontId="154" fillId="0" borderId="2" xfId="0" applyFont="1" applyBorder="1" applyAlignment="1" applyProtection="1">
      <alignment horizontal="center" vertical="center"/>
      <protection locked="0"/>
    </xf>
    <xf numFmtId="0" fontId="154" fillId="5" borderId="0" xfId="0" applyFont="1" applyFill="1" applyAlignment="1" applyProtection="1">
      <alignment horizontal="center" vertical="center"/>
    </xf>
    <xf numFmtId="0" fontId="154" fillId="0" borderId="0" xfId="0" applyFont="1" applyAlignment="1" applyProtection="1">
      <alignment horizontal="center" vertical="center"/>
      <protection locked="0"/>
    </xf>
    <xf numFmtId="0" fontId="154" fillId="5" borderId="0" xfId="0" applyFont="1" applyFill="1" applyProtection="1">
      <alignment vertical="center"/>
    </xf>
    <xf numFmtId="0" fontId="81" fillId="0" borderId="2" xfId="0" applyFont="1" applyBorder="1" applyAlignment="1" applyProtection="1">
      <alignment horizontal="center" vertical="center" wrapText="1"/>
      <protection locked="0"/>
    </xf>
    <xf numFmtId="0" fontId="155" fillId="5" borderId="0" xfId="0" applyFont="1" applyFill="1" applyAlignment="1" applyProtection="1">
      <alignment horizontal="left" vertical="center"/>
    </xf>
    <xf numFmtId="0" fontId="76" fillId="5" borderId="0" xfId="0" applyFont="1" applyFill="1" applyAlignment="1" applyProtection="1">
      <alignment horizontal="center" vertical="center" wrapText="1"/>
    </xf>
    <xf numFmtId="0" fontId="76" fillId="0" borderId="0" xfId="0" applyFont="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81" fillId="5" borderId="2" xfId="0" applyFont="1" applyFill="1" applyBorder="1" applyAlignment="1" applyProtection="1">
      <alignment horizontal="center" vertical="center" wrapText="1"/>
    </xf>
    <xf numFmtId="0" fontId="81" fillId="0" borderId="0" xfId="0" applyFont="1" applyAlignment="1" applyProtection="1">
      <alignment horizontal="center" vertical="center" wrapText="1"/>
      <protection locked="0"/>
    </xf>
    <xf numFmtId="0" fontId="156" fillId="5" borderId="0" xfId="0" applyFont="1" applyFill="1" applyAlignment="1" applyProtection="1">
      <alignment horizontal="left" vertical="center"/>
    </xf>
    <xf numFmtId="0" fontId="81" fillId="5" borderId="4" xfId="0" applyFont="1" applyFill="1" applyBorder="1" applyAlignment="1" applyProtection="1">
      <alignment horizontal="center" vertical="center" wrapText="1"/>
    </xf>
    <xf numFmtId="180" fontId="81" fillId="0" borderId="2" xfId="0" applyNumberFormat="1" applyFont="1" applyBorder="1" applyAlignment="1" applyProtection="1">
      <alignment horizontal="center" vertical="center" wrapText="1"/>
      <protection locked="0"/>
    </xf>
    <xf numFmtId="180" fontId="157" fillId="5" borderId="2" xfId="0" applyNumberFormat="1" applyFont="1" applyFill="1" applyBorder="1" applyAlignment="1" applyProtection="1">
      <alignment horizontal="center" vertical="center" wrapText="1"/>
    </xf>
    <xf numFmtId="0" fontId="81" fillId="2" borderId="2" xfId="0" applyFont="1" applyFill="1" applyBorder="1" applyAlignment="1" applyProtection="1">
      <alignment horizontal="center" vertical="center" wrapText="1"/>
      <protection locked="0"/>
    </xf>
    <xf numFmtId="0" fontId="81" fillId="3" borderId="5" xfId="0" applyFont="1" applyFill="1" applyBorder="1" applyAlignment="1" applyProtection="1">
      <alignment horizontal="center" vertical="center" wrapText="1"/>
      <protection locked="0"/>
    </xf>
    <xf numFmtId="0" fontId="81" fillId="0" borderId="0" xfId="0" applyFont="1" applyFill="1" applyAlignment="1" applyProtection="1">
      <alignment horizontal="center" vertical="center" wrapText="1"/>
      <protection locked="0"/>
    </xf>
    <xf numFmtId="0" fontId="81" fillId="5" borderId="5" xfId="0" applyFont="1" applyFill="1" applyBorder="1" applyAlignment="1" applyProtection="1">
      <alignment horizontal="left" vertical="center"/>
    </xf>
    <xf numFmtId="177" fontId="81" fillId="5" borderId="2" xfId="0" applyNumberFormat="1" applyFont="1" applyFill="1" applyBorder="1" applyAlignment="1" applyProtection="1">
      <alignment horizontal="center" vertical="center" wrapText="1"/>
    </xf>
    <xf numFmtId="0" fontId="81" fillId="5" borderId="1" xfId="0" applyFont="1" applyFill="1" applyBorder="1" applyAlignment="1" applyProtection="1">
      <alignment horizontal="center" vertical="center" wrapText="1"/>
    </xf>
    <xf numFmtId="177" fontId="81" fillId="5" borderId="6" xfId="0" applyNumberFormat="1" applyFont="1" applyFill="1" applyBorder="1" applyAlignment="1" applyProtection="1">
      <alignment horizontal="center" vertical="center" wrapText="1"/>
    </xf>
    <xf numFmtId="177" fontId="81" fillId="5" borderId="7" xfId="0" applyNumberFormat="1" applyFont="1" applyFill="1" applyBorder="1" applyAlignment="1" applyProtection="1">
      <alignment horizontal="center" vertical="center" wrapText="1"/>
    </xf>
    <xf numFmtId="177" fontId="81" fillId="5" borderId="8" xfId="0" applyNumberFormat="1" applyFont="1" applyFill="1" applyBorder="1" applyAlignment="1" applyProtection="1">
      <alignment horizontal="center" vertical="center" wrapText="1"/>
    </xf>
    <xf numFmtId="177" fontId="81" fillId="5" borderId="9" xfId="0" applyNumberFormat="1" applyFont="1" applyFill="1" applyBorder="1" applyAlignment="1" applyProtection="1">
      <alignment horizontal="center" vertical="center" wrapText="1"/>
    </xf>
    <xf numFmtId="177" fontId="81" fillId="5" borderId="10" xfId="0" applyNumberFormat="1" applyFont="1" applyFill="1" applyBorder="1" applyAlignment="1" applyProtection="1">
      <alignment horizontal="center" vertical="center" wrapText="1"/>
    </xf>
    <xf numFmtId="177" fontId="81" fillId="5" borderId="5" xfId="0" applyNumberFormat="1" applyFont="1" applyFill="1" applyBorder="1" applyAlignment="1" applyProtection="1">
      <alignment horizontal="center" vertical="center" wrapText="1"/>
    </xf>
    <xf numFmtId="177" fontId="81" fillId="5" borderId="11" xfId="0" applyNumberFormat="1" applyFont="1" applyFill="1" applyBorder="1" applyAlignment="1" applyProtection="1">
      <alignment horizontal="center" vertical="center" wrapText="1"/>
    </xf>
    <xf numFmtId="177" fontId="81" fillId="5" borderId="12" xfId="0" applyNumberFormat="1" applyFont="1" applyFill="1" applyBorder="1" applyAlignment="1" applyProtection="1">
      <alignment horizontal="center" vertical="center" wrapText="1"/>
    </xf>
    <xf numFmtId="177" fontId="81" fillId="0" borderId="0" xfId="0" applyNumberFormat="1" applyFont="1" applyAlignment="1" applyProtection="1">
      <alignment horizontal="center" vertical="center" wrapText="1"/>
      <protection locked="0"/>
    </xf>
    <xf numFmtId="0" fontId="81" fillId="5" borderId="13" xfId="0" applyFont="1" applyFill="1" applyBorder="1" applyAlignment="1" applyProtection="1">
      <alignment horizontal="center" vertical="center" wrapText="1"/>
    </xf>
    <xf numFmtId="0" fontId="81" fillId="5" borderId="4" xfId="0" applyFont="1" applyFill="1" applyBorder="1" applyAlignment="1" applyProtection="1">
      <alignment horizontal="left" vertical="center"/>
    </xf>
    <xf numFmtId="0" fontId="81" fillId="5" borderId="14"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xf>
    <xf numFmtId="0" fontId="81" fillId="5" borderId="15"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180" fontId="81" fillId="5" borderId="5" xfId="0" applyNumberFormat="1" applyFont="1" applyFill="1" applyBorder="1" applyAlignment="1" applyProtection="1">
      <alignment horizontal="left" vertical="center"/>
    </xf>
    <xf numFmtId="0" fontId="84" fillId="5" borderId="8" xfId="0" applyFont="1" applyFill="1" applyBorder="1" applyAlignment="1" applyProtection="1">
      <alignment horizontal="center" vertical="center"/>
    </xf>
    <xf numFmtId="180" fontId="81" fillId="5" borderId="8" xfId="0" applyNumberFormat="1" applyFont="1" applyFill="1" applyBorder="1" applyAlignment="1" applyProtection="1">
      <alignment horizontal="center" vertical="center"/>
    </xf>
    <xf numFmtId="180" fontId="81" fillId="5" borderId="9" xfId="0" applyNumberFormat="1" applyFont="1" applyFill="1" applyBorder="1" applyAlignment="1" applyProtection="1">
      <alignment horizontal="center" vertical="center"/>
    </xf>
    <xf numFmtId="0" fontId="81" fillId="5" borderId="8" xfId="0" applyFont="1" applyFill="1" applyBorder="1" applyAlignment="1" applyProtection="1">
      <alignment horizontal="left" vertical="center"/>
    </xf>
    <xf numFmtId="0" fontId="84" fillId="5" borderId="14"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16" xfId="0" applyFont="1" applyFill="1" applyBorder="1" applyAlignment="1" applyProtection="1">
      <alignment horizontal="center" vertical="center"/>
    </xf>
    <xf numFmtId="0" fontId="81" fillId="0" borderId="0" xfId="0" applyFont="1" applyAlignment="1" applyProtection="1">
      <alignment horizontal="center" vertical="center"/>
      <protection locked="0"/>
    </xf>
    <xf numFmtId="180" fontId="81" fillId="5" borderId="0" xfId="0" applyNumberFormat="1" applyFont="1" applyFill="1" applyBorder="1" applyAlignment="1" applyProtection="1">
      <alignment horizontal="center" vertical="center"/>
    </xf>
    <xf numFmtId="0" fontId="81" fillId="2" borderId="17" xfId="0" applyFont="1" applyFill="1" applyBorder="1" applyAlignment="1" applyProtection="1">
      <alignment horizontal="left" vertical="center"/>
      <protection locked="0"/>
    </xf>
    <xf numFmtId="0" fontId="84" fillId="5" borderId="8" xfId="0" applyFont="1" applyFill="1" applyBorder="1" applyAlignment="1" applyProtection="1">
      <alignment horizontal="left" vertical="center"/>
    </xf>
    <xf numFmtId="0" fontId="81" fillId="5" borderId="9" xfId="0" applyFont="1" applyFill="1" applyBorder="1" applyAlignment="1" applyProtection="1">
      <alignment horizontal="left" vertical="center"/>
    </xf>
    <xf numFmtId="0" fontId="81" fillId="5" borderId="18" xfId="0" applyFont="1" applyFill="1" applyBorder="1" applyAlignment="1" applyProtection="1">
      <alignment horizontal="center" vertical="center"/>
    </xf>
    <xf numFmtId="180" fontId="81" fillId="5" borderId="17" xfId="0" applyNumberFormat="1" applyFont="1" applyFill="1" applyBorder="1" applyAlignment="1" applyProtection="1">
      <alignment horizontal="center" vertical="center"/>
    </xf>
    <xf numFmtId="0" fontId="84" fillId="5" borderId="19" xfId="0" applyFont="1" applyFill="1" applyBorder="1" applyAlignment="1" applyProtection="1">
      <alignment horizontal="center" vertical="center"/>
    </xf>
    <xf numFmtId="180" fontId="81" fillId="5" borderId="20" xfId="0" applyNumberFormat="1" applyFont="1" applyFill="1" applyBorder="1" applyAlignment="1" applyProtection="1">
      <alignment horizontal="center" vertical="center"/>
    </xf>
    <xf numFmtId="0" fontId="81" fillId="2" borderId="5" xfId="0" applyFont="1" applyFill="1" applyBorder="1" applyAlignment="1" applyProtection="1">
      <alignment horizontal="left" vertical="center"/>
      <protection locked="0"/>
    </xf>
    <xf numFmtId="180" fontId="81" fillId="5" borderId="18" xfId="0" applyNumberFormat="1"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2" borderId="8" xfId="0" applyFont="1" applyFill="1" applyBorder="1" applyAlignment="1" applyProtection="1">
      <alignment horizontal="left" vertical="center"/>
      <protection locked="0"/>
    </xf>
    <xf numFmtId="0" fontId="84" fillId="5" borderId="9" xfId="0" applyFont="1" applyFill="1" applyBorder="1" applyAlignment="1" applyProtection="1">
      <alignment horizontal="left" vertical="center"/>
    </xf>
    <xf numFmtId="0" fontId="81" fillId="5" borderId="17" xfId="0" applyFont="1" applyFill="1" applyBorder="1" applyAlignment="1" applyProtection="1">
      <alignment horizontal="center" vertical="center" wrapText="1"/>
    </xf>
    <xf numFmtId="0" fontId="81" fillId="5" borderId="21" xfId="0" applyFont="1" applyFill="1" applyBorder="1" applyAlignment="1" applyProtection="1">
      <alignment horizontal="center" vertical="center" wrapText="1"/>
    </xf>
    <xf numFmtId="180" fontId="81" fillId="5" borderId="20" xfId="0" applyNumberFormat="1" applyFont="1" applyFill="1" applyBorder="1" applyAlignment="1" applyProtection="1">
      <alignment horizontal="center" vertical="center" wrapText="1"/>
    </xf>
    <xf numFmtId="180" fontId="81" fillId="5" borderId="21" xfId="0" applyNumberFormat="1" applyFont="1" applyFill="1" applyBorder="1" applyAlignment="1" applyProtection="1">
      <alignment horizontal="center" vertical="center" wrapText="1"/>
    </xf>
    <xf numFmtId="180" fontId="81" fillId="5" borderId="17" xfId="0" applyNumberFormat="1"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180" fontId="81" fillId="5" borderId="2" xfId="0" applyNumberFormat="1" applyFont="1" applyFill="1" applyBorder="1" applyAlignment="1" applyProtection="1">
      <alignment horizontal="center" vertical="center"/>
    </xf>
    <xf numFmtId="0" fontId="81" fillId="2" borderId="21" xfId="0" applyFont="1" applyFill="1" applyBorder="1" applyAlignment="1" applyProtection="1">
      <alignment horizontal="center" vertical="center" wrapText="1"/>
      <protection locked="0"/>
    </xf>
    <xf numFmtId="177" fontId="81" fillId="0" borderId="21" xfId="0" applyNumberFormat="1" applyFont="1" applyFill="1" applyBorder="1" applyAlignment="1" applyProtection="1">
      <alignment horizontal="center" vertical="center" wrapText="1"/>
      <protection locked="0"/>
    </xf>
    <xf numFmtId="177" fontId="81" fillId="5" borderId="21" xfId="0" applyNumberFormat="1" applyFont="1" applyFill="1" applyBorder="1" applyAlignment="1" applyProtection="1">
      <alignment horizontal="center" vertical="center" wrapText="1"/>
    </xf>
    <xf numFmtId="177" fontId="81" fillId="0" borderId="2" xfId="0" applyNumberFormat="1" applyFont="1" applyBorder="1" applyAlignment="1" applyProtection="1">
      <alignment vertical="center" wrapText="1"/>
      <protection locked="0"/>
    </xf>
    <xf numFmtId="0" fontId="76" fillId="0" borderId="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6" borderId="21" xfId="0" applyFont="1" applyFill="1" applyBorder="1" applyAlignment="1" applyProtection="1">
      <alignment horizontal="center" vertical="center" wrapText="1"/>
      <protection locked="0"/>
    </xf>
    <xf numFmtId="177" fontId="76" fillId="5" borderId="2" xfId="0" applyNumberFormat="1" applyFont="1" applyFill="1" applyBorder="1" applyAlignment="1" applyProtection="1">
      <alignment horizontal="center" vertical="center" wrapText="1"/>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177" fontId="76" fillId="0" borderId="2" xfId="0" applyNumberFormat="1" applyFont="1" applyBorder="1" applyAlignment="1" applyProtection="1">
      <alignment horizontal="center" vertical="center" wrapText="1"/>
      <protection locked="0"/>
    </xf>
    <xf numFmtId="177"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76" fillId="5" borderId="9" xfId="0"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76" fillId="0" borderId="2" xfId="0" applyFont="1" applyBorder="1" applyAlignment="1" applyProtection="1">
      <alignment vertical="center" wrapText="1"/>
      <protection locked="0"/>
    </xf>
    <xf numFmtId="0" fontId="76" fillId="0" borderId="5" xfId="0" applyFont="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177" fontId="76" fillId="0" borderId="0" xfId="0" applyNumberFormat="1" applyFont="1" applyFill="1" applyBorder="1" applyAlignment="1" applyProtection="1">
      <alignment horizontal="center" vertical="center" wrapText="1"/>
      <protection locked="0"/>
    </xf>
    <xf numFmtId="0" fontId="85" fillId="0" borderId="0" xfId="0" applyFont="1" applyAlignment="1" applyProtection="1">
      <alignment horizontal="center" vertical="center" wrapText="1"/>
      <protection locked="0"/>
    </xf>
    <xf numFmtId="0" fontId="85" fillId="0" borderId="0" xfId="0" applyFont="1" applyAlignment="1" applyProtection="1">
      <alignment horizontal="center" vertical="center"/>
      <protection locked="0"/>
    </xf>
    <xf numFmtId="0" fontId="155" fillId="5" borderId="0" xfId="0" applyFont="1" applyFill="1" applyProtection="1">
      <alignment vertical="center"/>
    </xf>
    <xf numFmtId="0" fontId="76" fillId="5" borderId="0" xfId="0" applyFont="1" applyFill="1" applyProtection="1">
      <alignment vertical="center"/>
    </xf>
    <xf numFmtId="177" fontId="88" fillId="5" borderId="2" xfId="2" applyNumberFormat="1" applyFont="1" applyFill="1" applyBorder="1" applyAlignment="1" applyProtection="1">
      <alignment horizontal="center" vertical="center"/>
    </xf>
    <xf numFmtId="0" fontId="80" fillId="5" borderId="10" xfId="0" applyFont="1" applyFill="1" applyBorder="1" applyAlignment="1" applyProtection="1">
      <alignment vertical="center"/>
    </xf>
    <xf numFmtId="0" fontId="80" fillId="5" borderId="6" xfId="0" applyFont="1" applyFill="1" applyBorder="1" applyAlignment="1" applyProtection="1">
      <alignment horizontal="center" vertical="center"/>
    </xf>
    <xf numFmtId="177" fontId="88" fillId="5" borderId="7" xfId="2" applyNumberFormat="1" applyFont="1" applyFill="1" applyBorder="1" applyAlignment="1" applyProtection="1">
      <alignment horizontal="center" vertical="center"/>
    </xf>
    <xf numFmtId="0" fontId="76" fillId="5" borderId="22" xfId="0" applyFont="1" applyFill="1" applyBorder="1" applyAlignment="1" applyProtection="1">
      <alignment vertical="center"/>
    </xf>
    <xf numFmtId="0" fontId="76" fillId="5" borderId="2" xfId="0" applyFont="1" applyFill="1" applyBorder="1" applyAlignment="1" applyProtection="1">
      <alignment vertical="center"/>
    </xf>
    <xf numFmtId="177" fontId="76" fillId="5" borderId="12" xfId="0" applyNumberFormat="1" applyFont="1" applyFill="1" applyBorder="1" applyAlignment="1" applyProtection="1">
      <alignment vertical="center"/>
    </xf>
    <xf numFmtId="0" fontId="76" fillId="5" borderId="23" xfId="0" applyFont="1" applyFill="1" applyBorder="1" applyAlignment="1" applyProtection="1">
      <alignment vertical="center"/>
    </xf>
    <xf numFmtId="177" fontId="80" fillId="5" borderId="7"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12" xfId="0" applyFont="1" applyFill="1" applyBorder="1" applyAlignment="1" applyProtection="1">
      <alignment vertical="center"/>
    </xf>
    <xf numFmtId="0" fontId="76" fillId="5" borderId="24" xfId="0" applyFont="1" applyFill="1" applyBorder="1" applyAlignment="1" applyProtection="1">
      <alignment vertical="center"/>
    </xf>
    <xf numFmtId="0" fontId="76" fillId="5" borderId="3" xfId="0" applyFont="1" applyFill="1" applyBorder="1" applyAlignment="1" applyProtection="1">
      <alignment vertical="center"/>
    </xf>
    <xf numFmtId="0" fontId="76" fillId="0" borderId="12" xfId="0" applyFont="1" applyFill="1" applyBorder="1" applyAlignment="1" applyProtection="1">
      <alignment vertical="center"/>
      <protection locked="0"/>
    </xf>
    <xf numFmtId="0" fontId="76" fillId="5" borderId="25" xfId="0" applyFont="1" applyFill="1" applyBorder="1" applyAlignment="1" applyProtection="1">
      <alignment vertical="center"/>
    </xf>
    <xf numFmtId="0" fontId="76" fillId="5" borderId="26" xfId="0" applyFont="1" applyFill="1" applyBorder="1" applyAlignment="1" applyProtection="1">
      <alignment vertical="center"/>
    </xf>
    <xf numFmtId="0" fontId="76" fillId="5" borderId="27" xfId="0" applyFont="1" applyFill="1" applyBorder="1" applyProtection="1">
      <alignment vertical="center"/>
    </xf>
    <xf numFmtId="0" fontId="76" fillId="5" borderId="28" xfId="0" applyFont="1" applyFill="1" applyBorder="1" applyAlignment="1" applyProtection="1">
      <alignment vertical="center"/>
    </xf>
    <xf numFmtId="177" fontId="88" fillId="5" borderId="29" xfId="2" applyNumberFormat="1" applyFont="1" applyFill="1" applyBorder="1" applyAlignment="1" applyProtection="1">
      <alignment horizontal="center" vertical="center"/>
    </xf>
    <xf numFmtId="177" fontId="88" fillId="5" borderId="30" xfId="2" applyNumberFormat="1" applyFont="1" applyFill="1" applyBorder="1" applyAlignment="1" applyProtection="1">
      <alignment horizontal="center" vertical="center"/>
    </xf>
    <xf numFmtId="0" fontId="80" fillId="5" borderId="5"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21" xfId="0" applyFont="1" applyFill="1" applyBorder="1" applyAlignment="1" applyProtection="1">
      <alignment vertical="center"/>
    </xf>
    <xf numFmtId="0" fontId="76" fillId="5" borderId="0" xfId="0" applyFont="1" applyFill="1" applyBorder="1" applyAlignment="1" applyProtection="1">
      <alignment vertical="center"/>
    </xf>
    <xf numFmtId="177" fontId="89" fillId="5" borderId="2" xfId="2"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180" fontId="76" fillId="5" borderId="2" xfId="0" applyNumberFormat="1" applyFont="1" applyFill="1" applyBorder="1" applyAlignment="1" applyProtection="1">
      <alignment horizontal="center" vertical="center"/>
    </xf>
    <xf numFmtId="0" fontId="76" fillId="5" borderId="31" xfId="0" applyFont="1" applyFill="1" applyBorder="1" applyProtection="1">
      <alignment vertical="center"/>
    </xf>
    <xf numFmtId="177" fontId="76" fillId="5" borderId="2" xfId="0" applyNumberFormat="1" applyFont="1" applyFill="1" applyBorder="1" applyAlignment="1" applyProtection="1">
      <alignment vertical="center"/>
    </xf>
    <xf numFmtId="0" fontId="81" fillId="3" borderId="9" xfId="0" applyFont="1" applyFill="1" applyBorder="1" applyProtection="1">
      <alignment vertical="center"/>
      <protection locked="0"/>
    </xf>
    <xf numFmtId="0" fontId="76" fillId="5" borderId="9" xfId="0" applyFont="1" applyFill="1" applyBorder="1" applyAlignment="1" applyProtection="1">
      <alignment vertical="center"/>
    </xf>
    <xf numFmtId="0" fontId="81" fillId="0" borderId="2" xfId="0" applyFont="1" applyBorder="1" applyAlignment="1" applyProtection="1">
      <alignment horizontal="center" vertical="center"/>
      <protection locked="0"/>
    </xf>
    <xf numFmtId="0" fontId="76" fillId="5" borderId="31" xfId="0" applyFont="1" applyFill="1" applyBorder="1" applyAlignment="1" applyProtection="1">
      <alignment vertical="center"/>
    </xf>
    <xf numFmtId="178" fontId="76" fillId="0" borderId="2" xfId="2" applyNumberFormat="1" applyFont="1" applyFill="1" applyBorder="1" applyAlignment="1" applyProtection="1">
      <alignment vertical="center"/>
      <protection locked="0"/>
    </xf>
    <xf numFmtId="0" fontId="76" fillId="3" borderId="32" xfId="0" applyFont="1" applyFill="1" applyBorder="1" applyProtection="1">
      <alignment vertical="center"/>
      <protection locked="0"/>
    </xf>
    <xf numFmtId="0" fontId="76" fillId="0" borderId="2" xfId="0" applyFont="1" applyBorder="1" applyAlignment="1" applyProtection="1">
      <alignment horizontal="center" vertical="center"/>
      <protection locked="0"/>
    </xf>
    <xf numFmtId="178" fontId="76" fillId="0" borderId="9" xfId="2" applyNumberFormat="1" applyFont="1" applyFill="1" applyBorder="1" applyAlignment="1" applyProtection="1">
      <alignment vertical="center"/>
      <protection locked="0"/>
    </xf>
    <xf numFmtId="177" fontId="76" fillId="5" borderId="2" xfId="0" applyNumberFormat="1" applyFont="1" applyFill="1" applyBorder="1" applyAlignment="1" applyProtection="1">
      <alignment horizontal="center" vertical="center"/>
    </xf>
    <xf numFmtId="0" fontId="76" fillId="5" borderId="9" xfId="0" applyFont="1" applyFill="1" applyBorder="1" applyProtection="1">
      <alignment vertical="center"/>
    </xf>
    <xf numFmtId="0" fontId="76" fillId="5" borderId="16" xfId="0" applyFont="1" applyFill="1" applyBorder="1" applyProtection="1">
      <alignment vertical="center"/>
    </xf>
    <xf numFmtId="0" fontId="76" fillId="5" borderId="25" xfId="0" applyFont="1" applyFill="1" applyBorder="1" applyProtection="1">
      <alignment vertical="center"/>
    </xf>
    <xf numFmtId="0" fontId="76" fillId="5" borderId="32" xfId="0" applyFont="1" applyFill="1" applyBorder="1" applyAlignment="1" applyProtection="1">
      <alignment horizontal="left" vertical="center"/>
    </xf>
    <xf numFmtId="0" fontId="155" fillId="5" borderId="0" xfId="0" applyFont="1" applyFill="1" applyAlignment="1" applyProtection="1">
      <alignment vertical="center" wrapText="1"/>
    </xf>
    <xf numFmtId="0" fontId="80" fillId="5" borderId="33" xfId="0" applyFont="1" applyFill="1" applyBorder="1" applyAlignment="1" applyProtection="1">
      <alignment vertical="center" wrapText="1"/>
    </xf>
    <xf numFmtId="0" fontId="80" fillId="5" borderId="35" xfId="0" applyFont="1" applyFill="1" applyBorder="1" applyAlignment="1" applyProtection="1">
      <alignment vertical="center" wrapText="1"/>
    </xf>
    <xf numFmtId="0" fontId="76" fillId="5" borderId="4" xfId="0" applyFont="1" applyFill="1" applyBorder="1" applyAlignment="1" applyProtection="1">
      <alignment horizontal="center" vertical="center"/>
    </xf>
    <xf numFmtId="0" fontId="76" fillId="5" borderId="36" xfId="0" applyFont="1" applyFill="1" applyBorder="1" applyAlignment="1" applyProtection="1">
      <alignment vertical="center"/>
    </xf>
    <xf numFmtId="0" fontId="76" fillId="5" borderId="37" xfId="0" applyFont="1" applyFill="1" applyBorder="1" applyAlignment="1" applyProtection="1">
      <alignment vertical="center"/>
    </xf>
    <xf numFmtId="0" fontId="76" fillId="5" borderId="38" xfId="0" applyFont="1" applyFill="1" applyBorder="1" applyAlignment="1" applyProtection="1">
      <alignment vertical="center"/>
    </xf>
    <xf numFmtId="0" fontId="76" fillId="5" borderId="39" xfId="0" applyFont="1" applyFill="1" applyBorder="1" applyAlignment="1" applyProtection="1">
      <alignment vertical="center"/>
    </xf>
    <xf numFmtId="0" fontId="76" fillId="5" borderId="6" xfId="2" applyFont="1" applyFill="1" applyBorder="1" applyAlignment="1" applyProtection="1">
      <alignment vertical="center" wrapText="1"/>
    </xf>
    <xf numFmtId="0" fontId="76" fillId="5" borderId="29" xfId="2" applyFont="1" applyFill="1" applyBorder="1" applyAlignment="1" applyProtection="1">
      <alignment vertical="center" wrapText="1"/>
    </xf>
    <xf numFmtId="181" fontId="89" fillId="5" borderId="1" xfId="2"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180" fontId="76" fillId="5" borderId="6" xfId="0" applyNumberFormat="1" applyFont="1" applyFill="1" applyBorder="1" applyAlignment="1" applyProtection="1">
      <alignment horizontal="center" vertical="center" wrapText="1"/>
    </xf>
    <xf numFmtId="0" fontId="154" fillId="5" borderId="7" xfId="0" applyFont="1" applyFill="1" applyBorder="1" applyAlignment="1" applyProtection="1">
      <alignment horizontal="center" vertical="center" wrapText="1"/>
    </xf>
    <xf numFmtId="178" fontId="76" fillId="5" borderId="1" xfId="2" applyNumberFormat="1" applyFont="1" applyFill="1" applyBorder="1" applyAlignment="1" applyProtection="1">
      <alignment horizontal="center" vertical="center" wrapText="1"/>
    </xf>
    <xf numFmtId="0" fontId="76" fillId="5" borderId="6" xfId="2" applyFont="1" applyFill="1" applyBorder="1" applyAlignment="1" applyProtection="1">
      <alignment horizontal="center" vertical="center" wrapText="1"/>
    </xf>
    <xf numFmtId="180" fontId="76" fillId="5" borderId="6" xfId="2" applyNumberFormat="1" applyFont="1" applyFill="1" applyBorder="1" applyAlignment="1" applyProtection="1">
      <alignment horizontal="center" vertical="center" wrapText="1"/>
    </xf>
    <xf numFmtId="0" fontId="76" fillId="5" borderId="29" xfId="2" applyFont="1" applyFill="1" applyBorder="1" applyAlignment="1" applyProtection="1">
      <alignment horizontal="center" vertical="center" wrapText="1"/>
    </xf>
    <xf numFmtId="0" fontId="76" fillId="5" borderId="40" xfId="0" applyFont="1" applyFill="1" applyBorder="1" applyAlignment="1" applyProtection="1">
      <alignment horizontal="center" vertical="center" wrapText="1"/>
    </xf>
    <xf numFmtId="0" fontId="76" fillId="5" borderId="1" xfId="2" applyFont="1" applyFill="1" applyBorder="1" applyAlignment="1" applyProtection="1">
      <alignment horizontal="center" vertical="center" wrapText="1"/>
    </xf>
    <xf numFmtId="0" fontId="76" fillId="5" borderId="41" xfId="2"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0" fontId="76" fillId="5" borderId="7" xfId="0" applyFont="1" applyFill="1" applyBorder="1" applyAlignment="1" applyProtection="1">
      <alignment horizontal="center" vertical="center" wrapText="1"/>
    </xf>
    <xf numFmtId="0" fontId="76" fillId="5" borderId="42" xfId="0" applyFont="1" applyFill="1" applyBorder="1" applyAlignment="1" applyProtection="1">
      <alignment horizontal="center" vertical="center" wrapText="1"/>
    </xf>
    <xf numFmtId="0" fontId="76" fillId="5" borderId="29" xfId="0" applyFont="1" applyFill="1" applyBorder="1" applyAlignment="1" applyProtection="1">
      <alignment horizontal="center" vertical="center" wrapText="1"/>
    </xf>
    <xf numFmtId="178" fontId="76" fillId="2" borderId="5" xfId="2" applyNumberFormat="1" applyFont="1" applyFill="1" applyBorder="1" applyAlignment="1" applyProtection="1">
      <alignment vertical="center"/>
      <protection locked="0"/>
    </xf>
    <xf numFmtId="180" fontId="89" fillId="5" borderId="2" xfId="2" applyNumberFormat="1" applyFont="1" applyFill="1" applyBorder="1" applyAlignment="1" applyProtection="1">
      <alignment horizontal="center" vertical="center"/>
    </xf>
    <xf numFmtId="181" fontId="89" fillId="5" borderId="2" xfId="2" applyNumberFormat="1" applyFont="1" applyFill="1" applyBorder="1" applyAlignment="1" applyProtection="1">
      <alignment horizontal="center" vertical="center"/>
    </xf>
    <xf numFmtId="182" fontId="76" fillId="0" borderId="2" xfId="0" applyNumberFormat="1" applyFont="1" applyFill="1" applyBorder="1" applyAlignment="1" applyProtection="1">
      <alignment horizontal="center" vertical="center"/>
      <protection locked="0"/>
    </xf>
    <xf numFmtId="0" fontId="76" fillId="5" borderId="2" xfId="2"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180" fontId="76" fillId="5" borderId="11" xfId="2" applyNumberFormat="1" applyFont="1" applyFill="1" applyBorder="1" applyAlignment="1" applyProtection="1">
      <alignment horizontal="center" vertical="center"/>
    </xf>
    <xf numFmtId="0" fontId="76" fillId="0" borderId="11" xfId="0" applyFont="1" applyBorder="1" applyAlignment="1" applyProtection="1">
      <alignment vertical="center"/>
      <protection locked="0"/>
    </xf>
    <xf numFmtId="182" fontId="76" fillId="0" borderId="2" xfId="0" applyNumberFormat="1" applyFont="1" applyBorder="1" applyAlignment="1" applyProtection="1">
      <alignment vertical="center"/>
      <protection locked="0"/>
    </xf>
    <xf numFmtId="182" fontId="76" fillId="0" borderId="12" xfId="0" applyNumberFormat="1" applyFont="1" applyBorder="1" applyAlignment="1" applyProtection="1">
      <alignment vertical="center"/>
      <protection locked="0"/>
    </xf>
    <xf numFmtId="0" fontId="76" fillId="0" borderId="9" xfId="0" applyFont="1" applyBorder="1" applyAlignment="1" applyProtection="1">
      <alignment vertical="center"/>
      <protection locked="0"/>
    </xf>
    <xf numFmtId="182" fontId="76" fillId="0" borderId="5" xfId="0" applyNumberFormat="1" applyFont="1" applyBorder="1" applyAlignment="1" applyProtection="1">
      <alignment vertical="center"/>
      <protection locked="0"/>
    </xf>
    <xf numFmtId="0" fontId="76" fillId="0" borderId="11" xfId="0" applyFont="1" applyBorder="1" applyAlignment="1" applyProtection="1">
      <alignment horizontal="center" vertical="center"/>
      <protection locked="0"/>
    </xf>
    <xf numFmtId="0" fontId="76" fillId="0" borderId="12" xfId="0"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0" fontId="76" fillId="0" borderId="2" xfId="0" applyNumberFormat="1" applyFont="1" applyBorder="1" applyAlignment="1" applyProtection="1">
      <alignment horizontal="center" vertical="center"/>
      <protection locked="0"/>
    </xf>
    <xf numFmtId="10" fontId="76" fillId="0" borderId="2" xfId="0" applyNumberFormat="1" applyFont="1" applyBorder="1" applyAlignment="1" applyProtection="1">
      <alignment horizontal="center" vertical="center"/>
      <protection locked="0"/>
    </xf>
    <xf numFmtId="183" fontId="76" fillId="0" borderId="2" xfId="0" applyNumberFormat="1" applyFont="1" applyBorder="1" applyAlignment="1" applyProtection="1">
      <alignment horizontal="center" vertical="center"/>
      <protection locked="0"/>
    </xf>
    <xf numFmtId="0" fontId="81" fillId="6" borderId="9" xfId="0"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0" fontId="76" fillId="0" borderId="9" xfId="0" applyFont="1" applyBorder="1" applyAlignment="1" applyProtection="1">
      <alignment horizontal="center" vertical="center"/>
      <protection locked="0"/>
    </xf>
    <xf numFmtId="10" fontId="76" fillId="0" borderId="2" xfId="0" applyNumberFormat="1" applyFont="1" applyFill="1" applyBorder="1" applyAlignment="1" applyProtection="1">
      <alignment horizontal="center" vertical="center"/>
      <protection locked="0"/>
    </xf>
    <xf numFmtId="183" fontId="76" fillId="0" borderId="2" xfId="0" applyNumberFormat="1" applyFont="1" applyFill="1" applyBorder="1" applyAlignment="1" applyProtection="1">
      <alignment horizontal="center" vertical="center"/>
      <protection locked="0"/>
    </xf>
    <xf numFmtId="0" fontId="80" fillId="5" borderId="43" xfId="2" applyFont="1" applyFill="1" applyBorder="1" applyAlignment="1" applyProtection="1">
      <alignment vertical="center" wrapText="1"/>
    </xf>
    <xf numFmtId="0" fontId="80" fillId="5" borderId="44" xfId="2" applyFont="1" applyFill="1" applyBorder="1" applyAlignment="1" applyProtection="1">
      <alignment vertical="center"/>
    </xf>
    <xf numFmtId="0" fontId="80" fillId="5" borderId="45" xfId="2" applyFont="1" applyFill="1" applyBorder="1" applyAlignment="1" applyProtection="1">
      <alignment vertical="center"/>
    </xf>
    <xf numFmtId="0" fontId="80" fillId="5" borderId="43" xfId="2" applyFont="1" applyFill="1" applyBorder="1" applyAlignment="1" applyProtection="1">
      <alignment vertical="center"/>
    </xf>
    <xf numFmtId="0" fontId="80" fillId="5" borderId="44" xfId="2" applyFont="1" applyFill="1" applyBorder="1" applyAlignment="1" applyProtection="1">
      <alignment horizontal="center" vertical="center"/>
    </xf>
    <xf numFmtId="182" fontId="80" fillId="5" borderId="44" xfId="2" applyNumberFormat="1" applyFont="1" applyFill="1" applyBorder="1" applyAlignment="1" applyProtection="1">
      <alignment vertical="center"/>
    </xf>
    <xf numFmtId="0" fontId="80" fillId="5" borderId="46" xfId="2" applyFont="1" applyFill="1" applyBorder="1" applyAlignment="1" applyProtection="1">
      <alignment vertical="center"/>
    </xf>
    <xf numFmtId="177" fontId="76" fillId="5" borderId="43" xfId="0" applyNumberFormat="1" applyFont="1" applyFill="1" applyBorder="1" applyAlignment="1" applyProtection="1">
      <alignment horizontal="center" vertical="center"/>
    </xf>
    <xf numFmtId="0" fontId="76" fillId="5" borderId="44" xfId="2" applyNumberFormat="1" applyFont="1" applyFill="1" applyBorder="1" applyAlignment="1" applyProtection="1">
      <alignment horizontal="center" vertical="center"/>
    </xf>
    <xf numFmtId="10" fontId="76" fillId="5" borderId="44" xfId="2" applyNumberFormat="1" applyFont="1" applyFill="1" applyBorder="1" applyAlignment="1" applyProtection="1">
      <alignment horizontal="center" vertical="center"/>
    </xf>
    <xf numFmtId="9" fontId="76" fillId="5" borderId="45" xfId="0" applyNumberFormat="1" applyFont="1" applyFill="1" applyBorder="1" applyAlignment="1" applyProtection="1">
      <alignment horizontal="center" vertical="center"/>
    </xf>
    <xf numFmtId="180" fontId="76" fillId="5" borderId="47" xfId="2" applyNumberFormat="1" applyFont="1" applyFill="1" applyBorder="1" applyAlignment="1" applyProtection="1">
      <alignment horizontal="center" vertical="center"/>
    </xf>
    <xf numFmtId="0" fontId="76" fillId="5" borderId="48" xfId="2" applyNumberFormat="1" applyFont="1" applyFill="1" applyBorder="1" applyAlignment="1" applyProtection="1">
      <alignment horizontal="center" vertical="center"/>
    </xf>
    <xf numFmtId="0" fontId="76" fillId="5" borderId="43" xfId="0" applyFont="1" applyFill="1" applyBorder="1" applyAlignment="1" applyProtection="1">
      <alignment vertical="center"/>
    </xf>
    <xf numFmtId="0" fontId="76" fillId="5" borderId="44" xfId="0" applyFont="1" applyFill="1" applyBorder="1" applyAlignment="1" applyProtection="1">
      <alignment vertical="center"/>
    </xf>
    <xf numFmtId="0" fontId="76" fillId="5" borderId="46" xfId="0" applyFont="1" applyFill="1" applyBorder="1" applyAlignment="1" applyProtection="1">
      <alignment vertical="center"/>
    </xf>
    <xf numFmtId="0" fontId="76" fillId="5" borderId="47" xfId="0" applyFont="1" applyFill="1" applyBorder="1" applyAlignment="1" applyProtection="1">
      <alignment vertical="center"/>
    </xf>
    <xf numFmtId="0" fontId="76" fillId="5" borderId="45" xfId="0" applyFont="1" applyFill="1" applyBorder="1" applyAlignment="1" applyProtection="1">
      <alignment vertical="center"/>
    </xf>
    <xf numFmtId="0" fontId="90" fillId="0" borderId="0" xfId="0" applyFont="1" applyAlignment="1" applyProtection="1">
      <alignment vertical="center" wrapText="1"/>
      <protection locked="0"/>
    </xf>
    <xf numFmtId="177" fontId="89" fillId="5" borderId="1" xfId="2" applyNumberFormat="1" applyFont="1" applyFill="1" applyBorder="1" applyAlignment="1" applyProtection="1">
      <alignment vertical="center" wrapText="1"/>
    </xf>
    <xf numFmtId="177" fontId="89" fillId="0" borderId="7" xfId="2" applyNumberFormat="1" applyFont="1" applyFill="1" applyBorder="1" applyAlignment="1" applyProtection="1">
      <alignment horizontal="center" vertical="center"/>
      <protection locked="0"/>
    </xf>
    <xf numFmtId="177" fontId="89" fillId="5" borderId="11" xfId="2" applyNumberFormat="1" applyFont="1" applyFill="1" applyBorder="1" applyAlignment="1" applyProtection="1">
      <alignment vertical="center" wrapText="1"/>
    </xf>
    <xf numFmtId="177" fontId="76" fillId="0" borderId="12" xfId="2" applyNumberFormat="1" applyFont="1" applyFill="1" applyBorder="1" applyAlignment="1" applyProtection="1">
      <alignment horizontal="center" vertical="center"/>
      <protection locked="0"/>
    </xf>
    <xf numFmtId="177" fontId="76" fillId="5" borderId="11" xfId="2" applyNumberFormat="1" applyFont="1" applyFill="1" applyBorder="1" applyAlignment="1" applyProtection="1">
      <alignment vertical="center" wrapText="1"/>
    </xf>
    <xf numFmtId="177" fontId="89" fillId="5" borderId="12" xfId="2" applyNumberFormat="1" applyFont="1" applyFill="1" applyBorder="1" applyAlignment="1" applyProtection="1">
      <alignment horizontal="center" vertical="center"/>
    </xf>
    <xf numFmtId="177" fontId="89" fillId="5" borderId="43" xfId="2" applyNumberFormat="1" applyFont="1" applyFill="1" applyBorder="1" applyAlignment="1" applyProtection="1">
      <alignment vertical="center" wrapText="1"/>
    </xf>
    <xf numFmtId="177" fontId="89" fillId="5" borderId="46" xfId="2" applyNumberFormat="1" applyFont="1" applyFill="1" applyBorder="1" applyAlignment="1" applyProtection="1">
      <alignment horizontal="center" vertical="center"/>
    </xf>
    <xf numFmtId="0" fontId="76" fillId="5" borderId="49" xfId="0" applyFont="1" applyFill="1" applyBorder="1" applyAlignment="1" applyProtection="1">
      <alignment horizontal="center" vertical="center"/>
    </xf>
    <xf numFmtId="0" fontId="76" fillId="5" borderId="1" xfId="0" applyFont="1" applyFill="1" applyBorder="1" applyAlignment="1" applyProtection="1">
      <alignment vertical="center" wrapText="1"/>
    </xf>
    <xf numFmtId="0" fontId="91" fillId="0" borderId="7" xfId="2" applyNumberFormat="1" applyFont="1" applyFill="1" applyBorder="1" applyAlignment="1" applyProtection="1">
      <alignment horizontal="center" vertical="center"/>
      <protection locked="0"/>
    </xf>
    <xf numFmtId="0" fontId="76" fillId="5" borderId="11" xfId="0" applyFont="1" applyFill="1" applyBorder="1" applyAlignment="1" applyProtection="1">
      <alignment vertical="center" wrapText="1"/>
    </xf>
    <xf numFmtId="0" fontId="91" fillId="0" borderId="12" xfId="2" applyNumberFormat="1" applyFont="1" applyFill="1" applyBorder="1" applyAlignment="1" applyProtection="1">
      <alignment horizontal="center" vertical="center"/>
      <protection locked="0"/>
    </xf>
    <xf numFmtId="0" fontId="89" fillId="5" borderId="12" xfId="2" applyNumberFormat="1" applyFont="1" applyFill="1" applyBorder="1" applyAlignment="1" applyProtection="1">
      <alignment horizontal="center" vertical="center"/>
    </xf>
    <xf numFmtId="0" fontId="76" fillId="5" borderId="43" xfId="0" applyFont="1" applyFill="1" applyBorder="1" applyAlignment="1" applyProtection="1">
      <alignment vertical="center" wrapText="1"/>
    </xf>
    <xf numFmtId="0" fontId="91" fillId="0" borderId="46" xfId="2" applyNumberFormat="1" applyFont="1" applyFill="1" applyBorder="1" applyAlignment="1" applyProtection="1">
      <alignment horizontal="center" vertical="center"/>
      <protection locked="0"/>
    </xf>
    <xf numFmtId="182" fontId="81" fillId="0" borderId="12" xfId="0" applyNumberFormat="1" applyFont="1" applyFill="1" applyBorder="1" applyAlignment="1" applyProtection="1">
      <alignment horizontal="center" vertical="center"/>
      <protection locked="0"/>
    </xf>
    <xf numFmtId="182" fontId="81" fillId="0" borderId="46" xfId="0" applyNumberFormat="1" applyFont="1" applyFill="1" applyBorder="1" applyAlignment="1" applyProtection="1">
      <alignment horizontal="center" vertical="center"/>
      <protection locked="0"/>
    </xf>
    <xf numFmtId="0" fontId="76" fillId="5" borderId="50" xfId="0" applyFont="1" applyFill="1" applyBorder="1" applyAlignment="1" applyProtection="1">
      <alignment vertical="center" wrapText="1"/>
    </xf>
    <xf numFmtId="182" fontId="81" fillId="0" borderId="51" xfId="0" applyNumberFormat="1" applyFont="1" applyFill="1" applyBorder="1" applyAlignment="1" applyProtection="1">
      <alignment horizontal="center" vertical="center"/>
      <protection locked="0"/>
    </xf>
    <xf numFmtId="0" fontId="76" fillId="5" borderId="22" xfId="0" applyFont="1" applyFill="1" applyBorder="1" applyAlignment="1" applyProtection="1">
      <alignment vertical="center" wrapText="1"/>
    </xf>
    <xf numFmtId="10" fontId="76" fillId="5" borderId="7" xfId="0" applyNumberFormat="1" applyFont="1" applyFill="1" applyBorder="1" applyAlignment="1" applyProtection="1">
      <alignment horizontal="center" vertical="center"/>
    </xf>
    <xf numFmtId="0" fontId="76" fillId="5" borderId="22" xfId="0" applyFont="1" applyFill="1" applyBorder="1" applyAlignment="1" applyProtection="1">
      <alignment horizontal="right" vertical="center" wrapText="1"/>
    </xf>
    <xf numFmtId="10" fontId="76" fillId="0" borderId="25" xfId="0" applyNumberFormat="1" applyFont="1" applyFill="1" applyBorder="1" applyAlignment="1" applyProtection="1">
      <alignment horizontal="center" vertical="center"/>
      <protection locked="0"/>
    </xf>
    <xf numFmtId="183" fontId="76" fillId="5" borderId="25" xfId="0" applyNumberFormat="1" applyFont="1" applyFill="1" applyBorder="1" applyAlignment="1" applyProtection="1">
      <alignment horizontal="center" vertical="center"/>
    </xf>
    <xf numFmtId="10" fontId="76" fillId="2" borderId="25" xfId="0" applyNumberFormat="1" applyFont="1" applyFill="1" applyBorder="1" applyAlignment="1" applyProtection="1">
      <alignment horizontal="center" vertical="center"/>
      <protection locked="0"/>
    </xf>
    <xf numFmtId="0" fontId="76" fillId="5" borderId="43" xfId="0" applyFont="1" applyFill="1" applyBorder="1" applyAlignment="1" applyProtection="1">
      <alignment horizontal="right" vertical="center" wrapText="1"/>
    </xf>
    <xf numFmtId="10" fontId="76" fillId="0" borderId="46" xfId="0" applyNumberFormat="1" applyFont="1" applyFill="1" applyBorder="1" applyAlignment="1" applyProtection="1">
      <alignment horizontal="center" vertical="center"/>
      <protection locked="0"/>
    </xf>
    <xf numFmtId="0" fontId="76" fillId="5" borderId="24" xfId="0" applyFont="1" applyFill="1" applyBorder="1" applyAlignment="1" applyProtection="1">
      <alignment vertical="center" wrapText="1"/>
    </xf>
    <xf numFmtId="10" fontId="76" fillId="0" borderId="52" xfId="0" applyNumberFormat="1" applyFont="1" applyFill="1" applyBorder="1" applyAlignment="1" applyProtection="1">
      <alignment horizontal="center" vertical="center"/>
      <protection locked="0"/>
    </xf>
    <xf numFmtId="0" fontId="76" fillId="5" borderId="53" xfId="0" applyFont="1" applyFill="1" applyBorder="1" applyAlignment="1" applyProtection="1">
      <alignment vertical="center" wrapText="1"/>
    </xf>
    <xf numFmtId="10" fontId="76" fillId="5" borderId="41" xfId="0" applyNumberFormat="1" applyFont="1" applyFill="1" applyBorder="1" applyAlignment="1" applyProtection="1">
      <alignment horizontal="center" vertical="center"/>
    </xf>
    <xf numFmtId="10" fontId="76" fillId="5" borderId="46" xfId="0" applyNumberFormat="1" applyFont="1" applyFill="1" applyBorder="1" applyAlignment="1" applyProtection="1">
      <alignment horizontal="center" vertical="center"/>
    </xf>
    <xf numFmtId="179" fontId="76" fillId="5" borderId="41"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protection locked="0"/>
    </xf>
    <xf numFmtId="0" fontId="76" fillId="0" borderId="46" xfId="0" applyFont="1" applyBorder="1" applyAlignment="1" applyProtection="1">
      <alignment vertical="center"/>
      <protection locked="0"/>
    </xf>
    <xf numFmtId="0" fontId="81" fillId="0" borderId="0" xfId="0" applyFont="1" applyAlignment="1" applyProtection="1">
      <alignment vertical="center" wrapText="1"/>
      <protection locked="0"/>
    </xf>
    <xf numFmtId="0" fontId="76" fillId="5" borderId="7"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center" vertical="center" wrapText="1"/>
    </xf>
    <xf numFmtId="0" fontId="81" fillId="0" borderId="0" xfId="0" applyFont="1" applyProtection="1">
      <alignment vertical="center"/>
      <protection locked="0"/>
    </xf>
    <xf numFmtId="0" fontId="76" fillId="5" borderId="10" xfId="0" applyFont="1" applyFill="1" applyBorder="1" applyAlignment="1" applyProtection="1">
      <alignment vertical="center" wrapText="1"/>
    </xf>
    <xf numFmtId="0" fontId="76" fillId="5" borderId="10" xfId="0" applyFont="1" applyFill="1" applyBorder="1" applyAlignment="1" applyProtection="1">
      <alignment horizontal="center" vertical="center" wrapText="1"/>
    </xf>
    <xf numFmtId="0" fontId="154" fillId="2" borderId="10" xfId="0" applyFont="1" applyFill="1" applyBorder="1" applyAlignment="1" applyProtection="1">
      <alignment horizontal="center" vertical="center"/>
      <protection locked="0"/>
    </xf>
    <xf numFmtId="0" fontId="81" fillId="5" borderId="5" xfId="0" applyFont="1" applyFill="1" applyBorder="1" applyAlignment="1" applyProtection="1">
      <alignment vertical="center"/>
    </xf>
    <xf numFmtId="0" fontId="81" fillId="5" borderId="8" xfId="0" applyFont="1" applyFill="1" applyBorder="1" applyAlignment="1" applyProtection="1">
      <alignment vertical="center" wrapText="1"/>
    </xf>
    <xf numFmtId="0" fontId="81" fillId="5" borderId="9" xfId="0" applyFont="1" applyFill="1" applyBorder="1" applyAlignment="1" applyProtection="1">
      <alignment vertical="center" wrapText="1"/>
    </xf>
    <xf numFmtId="0" fontId="80" fillId="5" borderId="5" xfId="0" applyFont="1" applyFill="1" applyBorder="1" applyAlignment="1" applyProtection="1">
      <alignment horizontal="right" vertical="center"/>
    </xf>
    <xf numFmtId="0" fontId="76" fillId="5" borderId="21" xfId="0" applyFont="1" applyFill="1" applyBorder="1" applyAlignment="1" applyProtection="1">
      <alignment horizontal="center" vertical="center"/>
    </xf>
    <xf numFmtId="0" fontId="80" fillId="5" borderId="13" xfId="0" applyFont="1" applyFill="1" applyBorder="1" applyAlignment="1" applyProtection="1">
      <alignment horizontal="right" vertical="center"/>
    </xf>
    <xf numFmtId="180" fontId="76" fillId="5" borderId="10" xfId="0" applyNumberFormat="1" applyFont="1" applyFill="1" applyBorder="1" applyAlignment="1" applyProtection="1">
      <alignment horizontal="center" vertical="center"/>
    </xf>
    <xf numFmtId="0" fontId="80" fillId="5" borderId="26" xfId="0" applyFont="1" applyFill="1" applyBorder="1" applyAlignment="1" applyProtection="1">
      <alignment vertical="center"/>
    </xf>
    <xf numFmtId="0" fontId="76" fillId="5" borderId="6" xfId="0" applyFont="1" applyFill="1" applyBorder="1" applyAlignment="1" applyProtection="1">
      <alignment vertical="center"/>
    </xf>
    <xf numFmtId="0" fontId="154" fillId="5" borderId="6" xfId="0" applyFont="1" applyFill="1" applyBorder="1" applyAlignment="1" applyProtection="1">
      <alignment horizontal="center" vertical="center"/>
    </xf>
    <xf numFmtId="0" fontId="154" fillId="5" borderId="29" xfId="0" applyFont="1" applyFill="1" applyBorder="1" applyAlignment="1" applyProtection="1">
      <alignment horizontal="center" vertical="center"/>
    </xf>
    <xf numFmtId="0" fontId="76" fillId="5" borderId="40" xfId="0" applyFont="1" applyFill="1" applyBorder="1" applyAlignment="1" applyProtection="1">
      <alignment horizontal="right" vertical="center"/>
    </xf>
    <xf numFmtId="0" fontId="81" fillId="5" borderId="39" xfId="0" applyFont="1" applyFill="1" applyBorder="1" applyAlignment="1" applyProtection="1">
      <alignment vertical="center"/>
    </xf>
    <xf numFmtId="0" fontId="80" fillId="5" borderId="31" xfId="0" applyFont="1" applyFill="1" applyBorder="1" applyAlignment="1" applyProtection="1">
      <alignment vertical="center"/>
    </xf>
    <xf numFmtId="0" fontId="76" fillId="5" borderId="2" xfId="0" applyFont="1" applyFill="1" applyBorder="1" applyProtection="1">
      <alignment vertical="center"/>
    </xf>
    <xf numFmtId="0" fontId="154" fillId="5" borderId="2" xfId="0" applyFont="1" applyFill="1" applyBorder="1" applyAlignment="1" applyProtection="1">
      <alignment horizontal="center" vertical="center"/>
    </xf>
    <xf numFmtId="0" fontId="154" fillId="5" borderId="5" xfId="0" applyFont="1" applyFill="1" applyBorder="1" applyAlignment="1" applyProtection="1">
      <alignment horizontal="center" vertical="center"/>
    </xf>
    <xf numFmtId="0" fontId="76" fillId="5" borderId="5" xfId="0" applyFont="1" applyFill="1" applyBorder="1" applyAlignment="1" applyProtection="1">
      <alignment horizontal="right" vertical="center"/>
    </xf>
    <xf numFmtId="0" fontId="81" fillId="5" borderId="16" xfId="0" applyFont="1" applyFill="1" applyBorder="1" applyAlignment="1" applyProtection="1">
      <alignment vertical="center"/>
    </xf>
    <xf numFmtId="0" fontId="76" fillId="5" borderId="10" xfId="0" applyFont="1" applyFill="1" applyBorder="1" applyProtection="1">
      <alignment vertical="center"/>
    </xf>
    <xf numFmtId="0" fontId="76" fillId="5" borderId="10" xfId="0" applyFont="1" applyFill="1" applyBorder="1" applyAlignment="1" applyProtection="1">
      <alignment horizontal="center" vertical="center"/>
    </xf>
    <xf numFmtId="0" fontId="76" fillId="5" borderId="8" xfId="0" applyFont="1" applyFill="1" applyBorder="1" applyAlignment="1" applyProtection="1">
      <alignment horizontal="right" vertical="center"/>
    </xf>
    <xf numFmtId="182" fontId="93" fillId="5" borderId="8" xfId="0" applyNumberFormat="1" applyFont="1" applyFill="1" applyBorder="1" applyAlignment="1" applyProtection="1">
      <alignment horizontal="center" vertical="center"/>
    </xf>
    <xf numFmtId="0" fontId="80" fillId="5" borderId="54" xfId="0" applyFont="1" applyFill="1" applyBorder="1" applyAlignment="1" applyProtection="1">
      <alignment vertical="center"/>
    </xf>
    <xf numFmtId="0" fontId="76" fillId="5" borderId="55" xfId="0" applyFont="1" applyFill="1" applyBorder="1" applyProtection="1">
      <alignment vertical="center"/>
    </xf>
    <xf numFmtId="0" fontId="81" fillId="5" borderId="56" xfId="0" applyFont="1" applyFill="1" applyBorder="1" applyAlignment="1" applyProtection="1">
      <alignment horizontal="right" vertical="center"/>
    </xf>
    <xf numFmtId="0" fontId="81" fillId="5" borderId="48" xfId="0" applyFont="1" applyFill="1" applyBorder="1" applyAlignment="1" applyProtection="1">
      <alignment horizontal="left"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16" xfId="0" applyFont="1" applyFill="1" applyBorder="1" applyAlignment="1" applyProtection="1">
      <alignment horizontal="center" vertical="center"/>
    </xf>
    <xf numFmtId="0" fontId="81" fillId="0" borderId="0" xfId="0" applyFont="1" applyFill="1" applyProtection="1">
      <alignment vertical="center"/>
      <protection locked="0"/>
    </xf>
    <xf numFmtId="0" fontId="158" fillId="0" borderId="11" xfId="0" applyFont="1" applyBorder="1" applyAlignment="1" applyProtection="1">
      <alignment horizontal="center" vertical="center"/>
      <protection locked="0"/>
    </xf>
    <xf numFmtId="0" fontId="158" fillId="0" borderId="2" xfId="0" applyFont="1" applyFill="1" applyBorder="1" applyAlignment="1" applyProtection="1">
      <alignment horizontal="center" vertical="center"/>
      <protection locked="0"/>
    </xf>
    <xf numFmtId="0" fontId="158" fillId="0" borderId="12" xfId="0" applyFont="1" applyFill="1" applyBorder="1" applyAlignment="1" applyProtection="1">
      <alignment horizontal="center" vertical="center"/>
      <protection locked="0"/>
    </xf>
    <xf numFmtId="0" fontId="76" fillId="5" borderId="42" xfId="0" applyFont="1" applyFill="1" applyBorder="1" applyAlignment="1" applyProtection="1">
      <alignment horizontal="left" vertical="center"/>
    </xf>
    <xf numFmtId="0" fontId="80" fillId="0" borderId="7" xfId="0" applyFont="1" applyFill="1" applyBorder="1" applyAlignment="1" applyProtection="1">
      <alignment horizontal="center" vertical="center"/>
      <protection locked="0"/>
    </xf>
    <xf numFmtId="0" fontId="94" fillId="5" borderId="31" xfId="0" applyFont="1" applyFill="1" applyBorder="1" applyAlignment="1" applyProtection="1">
      <alignment vertical="center"/>
    </xf>
    <xf numFmtId="0" fontId="80" fillId="0" borderId="12" xfId="0" applyFont="1" applyFill="1" applyBorder="1" applyAlignment="1" applyProtection="1">
      <alignment horizontal="center" vertical="center"/>
      <protection locked="0"/>
    </xf>
    <xf numFmtId="0" fontId="95" fillId="5" borderId="31" xfId="0" applyFont="1" applyFill="1" applyBorder="1" applyAlignment="1" applyProtection="1">
      <alignment horizontal="right" vertical="center"/>
    </xf>
    <xf numFmtId="0" fontId="76" fillId="5" borderId="47" xfId="0" applyFont="1" applyFill="1" applyBorder="1" applyAlignment="1" applyProtection="1">
      <alignment horizontal="left" vertical="center"/>
    </xf>
    <xf numFmtId="0" fontId="81" fillId="5" borderId="14" xfId="0" applyFont="1" applyFill="1" applyBorder="1" applyAlignment="1" applyProtection="1">
      <alignment horizontal="right" vertical="center"/>
    </xf>
    <xf numFmtId="0" fontId="80" fillId="5" borderId="35" xfId="0" applyFont="1" applyFill="1" applyBorder="1" applyAlignment="1" applyProtection="1">
      <alignment vertical="center"/>
    </xf>
    <xf numFmtId="0" fontId="158" fillId="0" borderId="1" xfId="0" applyFont="1" applyFill="1" applyBorder="1" applyAlignment="1" applyProtection="1">
      <alignment horizontal="center" vertical="center"/>
      <protection locked="0"/>
    </xf>
    <xf numFmtId="0" fontId="158" fillId="0" borderId="6" xfId="0" applyFont="1" applyFill="1" applyBorder="1" applyAlignment="1" applyProtection="1">
      <alignment horizontal="center" vertical="center"/>
      <protection locked="0"/>
    </xf>
    <xf numFmtId="0" fontId="158" fillId="0" borderId="7" xfId="0" applyFont="1" applyFill="1" applyBorder="1" applyAlignment="1" applyProtection="1">
      <alignment horizontal="center" vertical="center"/>
      <protection locked="0"/>
    </xf>
    <xf numFmtId="0" fontId="158" fillId="0" borderId="11" xfId="0" applyFont="1" applyFill="1" applyBorder="1" applyAlignment="1" applyProtection="1">
      <alignment horizontal="center" vertical="center"/>
      <protection locked="0"/>
    </xf>
    <xf numFmtId="0" fontId="158" fillId="0" borderId="43" xfId="0" applyFont="1" applyFill="1" applyBorder="1" applyAlignment="1" applyProtection="1">
      <alignment horizontal="center" vertical="center"/>
      <protection locked="0"/>
    </xf>
    <xf numFmtId="0" fontId="158" fillId="0" borderId="44" xfId="0" applyFont="1" applyFill="1" applyBorder="1" applyAlignment="1" applyProtection="1">
      <alignment horizontal="center" vertical="center"/>
      <protection locked="0"/>
    </xf>
    <xf numFmtId="0" fontId="158" fillId="0" borderId="46" xfId="0" applyFont="1" applyFill="1" applyBorder="1" applyAlignment="1" applyProtection="1">
      <alignment horizontal="center" vertical="center"/>
      <protection locked="0"/>
    </xf>
    <xf numFmtId="0" fontId="81" fillId="5" borderId="0" xfId="0" applyFont="1" applyFill="1" applyProtection="1">
      <alignment vertical="center"/>
    </xf>
    <xf numFmtId="0" fontId="75" fillId="5" borderId="26" xfId="0" applyFont="1" applyFill="1" applyBorder="1" applyAlignment="1" applyProtection="1">
      <alignment horizontal="center" vertical="center"/>
    </xf>
    <xf numFmtId="0" fontId="75" fillId="5" borderId="58" xfId="0" applyFont="1" applyFill="1" applyBorder="1" applyAlignment="1" applyProtection="1">
      <alignment horizontal="center" vertical="center"/>
    </xf>
    <xf numFmtId="0" fontId="159" fillId="5" borderId="40" xfId="0" applyFont="1" applyFill="1" applyBorder="1" applyAlignment="1" applyProtection="1">
      <alignment horizontal="center" vertical="center" wrapText="1"/>
    </xf>
    <xf numFmtId="0" fontId="75" fillId="5" borderId="6"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90" fillId="5" borderId="2" xfId="0" applyFont="1" applyFill="1" applyBorder="1" applyAlignment="1" applyProtection="1">
      <alignment horizontal="right" vertical="center"/>
    </xf>
    <xf numFmtId="0" fontId="90" fillId="5" borderId="12" xfId="0" applyFont="1" applyFill="1" applyBorder="1" applyAlignment="1" applyProtection="1">
      <alignment horizontal="right" vertical="center"/>
    </xf>
    <xf numFmtId="0" fontId="158" fillId="5" borderId="0" xfId="0" applyFont="1" applyFill="1" applyBorder="1" applyAlignment="1" applyProtection="1">
      <alignment horizontal="center" vertical="center"/>
    </xf>
    <xf numFmtId="0" fontId="80" fillId="5" borderId="45" xfId="0" applyFont="1" applyFill="1" applyBorder="1" applyAlignment="1" applyProtection="1">
      <alignment horizontal="right" vertical="center"/>
    </xf>
    <xf numFmtId="0" fontId="160" fillId="0" borderId="13" xfId="0" applyFont="1" applyBorder="1" applyAlignment="1" applyProtection="1">
      <alignment horizontal="left" vertical="center"/>
    </xf>
    <xf numFmtId="0" fontId="99" fillId="6" borderId="0" xfId="0" applyFont="1" applyFill="1" applyBorder="1" applyAlignment="1" applyProtection="1">
      <alignment horizontal="left" vertical="center" wrapText="1"/>
      <protection locked="0"/>
    </xf>
    <xf numFmtId="0" fontId="81" fillId="0" borderId="0" xfId="0" applyFont="1" applyFill="1" applyBorder="1" applyAlignment="1" applyProtection="1">
      <alignment horizontal="center" vertical="center" wrapText="1"/>
      <protection locked="0"/>
    </xf>
    <xf numFmtId="0" fontId="81" fillId="0" borderId="14" xfId="0" applyFont="1" applyFill="1" applyBorder="1" applyAlignment="1" applyProtection="1">
      <alignment horizontal="center" vertical="center" wrapText="1"/>
      <protection locked="0"/>
    </xf>
    <xf numFmtId="0" fontId="81" fillId="0" borderId="14" xfId="0" applyFont="1" applyFill="1" applyBorder="1" applyAlignment="1" applyProtection="1">
      <alignment horizontal="center" vertical="center"/>
      <protection locked="0"/>
    </xf>
    <xf numFmtId="0" fontId="81" fillId="0" borderId="32" xfId="0" applyFont="1" applyBorder="1" applyProtection="1">
      <alignment vertical="center"/>
      <protection locked="0"/>
    </xf>
    <xf numFmtId="0" fontId="81" fillId="0" borderId="13"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0" xfId="0" applyFont="1" applyFill="1" applyBorder="1" applyAlignment="1" applyProtection="1">
      <alignment horizontal="center" vertical="center"/>
      <protection locked="0"/>
    </xf>
    <xf numFmtId="0" fontId="81" fillId="0" borderId="18" xfId="0" applyFont="1" applyBorder="1" applyProtection="1">
      <alignment vertical="center"/>
      <protection locked="0"/>
    </xf>
    <xf numFmtId="0" fontId="81" fillId="0" borderId="17" xfId="0" applyFont="1" applyBorder="1" applyAlignment="1" applyProtection="1">
      <alignment horizontal="left" vertical="center" wrapText="1"/>
      <protection locked="0"/>
    </xf>
    <xf numFmtId="0" fontId="81" fillId="0" borderId="19" xfId="0" applyFont="1" applyBorder="1" applyAlignment="1" applyProtection="1">
      <alignment horizontal="left" vertical="center" wrapText="1"/>
      <protection locked="0"/>
    </xf>
    <xf numFmtId="0" fontId="81" fillId="0" borderId="19" xfId="0" applyFont="1" applyFill="1" applyBorder="1" applyAlignment="1" applyProtection="1">
      <alignment horizontal="center" vertical="center" wrapText="1"/>
      <protection locked="0"/>
    </xf>
    <xf numFmtId="0" fontId="81" fillId="0" borderId="19" xfId="0" applyFont="1" applyFill="1" applyBorder="1" applyAlignment="1" applyProtection="1">
      <alignment horizontal="center" vertical="center"/>
      <protection locked="0"/>
    </xf>
    <xf numFmtId="0" fontId="81" fillId="0" borderId="20" xfId="0" applyFont="1" applyBorder="1" applyProtection="1">
      <alignment vertical="center"/>
      <protection locked="0"/>
    </xf>
    <xf numFmtId="0" fontId="90" fillId="0" borderId="19" xfId="0" applyFont="1" applyBorder="1" applyAlignment="1" applyProtection="1">
      <alignment horizontal="left" vertical="center"/>
      <protection locked="0"/>
    </xf>
    <xf numFmtId="0" fontId="81" fillId="0" borderId="19" xfId="0" applyFont="1" applyBorder="1" applyProtection="1">
      <alignment vertical="center"/>
      <protection locked="0"/>
    </xf>
    <xf numFmtId="0" fontId="81" fillId="0" borderId="19" xfId="0" applyFont="1" applyBorder="1" applyAlignment="1" applyProtection="1">
      <alignment horizontal="right" vertical="center"/>
      <protection locked="0"/>
    </xf>
    <xf numFmtId="0" fontId="90" fillId="0" borderId="0" xfId="0" applyFont="1" applyAlignment="1" applyProtection="1">
      <alignment horizontal="left" vertical="center"/>
      <protection locked="0"/>
    </xf>
    <xf numFmtId="2" fontId="81" fillId="0" borderId="0" xfId="0" applyNumberFormat="1" applyFont="1" applyAlignment="1" applyProtection="1">
      <alignment vertical="center" wrapText="1"/>
      <protection locked="0"/>
    </xf>
    <xf numFmtId="0" fontId="81" fillId="5" borderId="10" xfId="0" applyFont="1" applyFill="1" applyBorder="1" applyAlignment="1" applyProtection="1">
      <alignment vertical="center"/>
    </xf>
    <xf numFmtId="9" fontId="81" fillId="6" borderId="14" xfId="0" applyNumberFormat="1" applyFont="1" applyFill="1" applyBorder="1" applyAlignment="1" applyProtection="1">
      <alignment horizontal="center" vertical="center"/>
      <protection locked="0"/>
    </xf>
    <xf numFmtId="0" fontId="81" fillId="5" borderId="32" xfId="0" applyFont="1" applyFill="1" applyBorder="1" applyProtection="1">
      <alignment vertical="center"/>
    </xf>
    <xf numFmtId="0" fontId="90" fillId="5" borderId="31" xfId="0" applyFont="1" applyFill="1" applyBorder="1" applyAlignment="1" applyProtection="1">
      <alignment horizontal="left" vertical="center" wrapText="1"/>
    </xf>
    <xf numFmtId="0" fontId="90" fillId="5" borderId="19" xfId="0" applyFont="1" applyFill="1" applyBorder="1" applyAlignment="1" applyProtection="1">
      <alignment horizontal="left" vertical="center" wrapText="1"/>
    </xf>
    <xf numFmtId="0" fontId="90" fillId="5" borderId="20" xfId="0" applyFont="1" applyFill="1" applyBorder="1" applyAlignment="1" applyProtection="1">
      <alignment horizontal="left" vertical="center" wrapText="1"/>
    </xf>
    <xf numFmtId="0" fontId="81" fillId="5" borderId="17" xfId="0" applyFont="1" applyFill="1" applyBorder="1" applyAlignment="1" applyProtection="1">
      <alignment horizontal="center" vertical="center"/>
    </xf>
    <xf numFmtId="0" fontId="90" fillId="5" borderId="2" xfId="0" applyFont="1" applyFill="1" applyBorder="1" applyAlignment="1" applyProtection="1">
      <alignment horizontal="left" vertical="center" wrapText="1"/>
    </xf>
    <xf numFmtId="9" fontId="81" fillId="5" borderId="12" xfId="0" applyNumberFormat="1" applyFont="1" applyFill="1" applyBorder="1" applyAlignment="1" applyProtection="1">
      <alignment horizontal="center" vertical="center"/>
    </xf>
    <xf numFmtId="10" fontId="81" fillId="5" borderId="21" xfId="0" applyNumberFormat="1" applyFont="1" applyFill="1" applyBorder="1" applyAlignment="1" applyProtection="1">
      <alignment horizontal="center" vertical="center"/>
    </xf>
    <xf numFmtId="0" fontId="84" fillId="0" borderId="12" xfId="0" applyFont="1" applyFill="1" applyBorder="1" applyAlignment="1" applyProtection="1">
      <alignment vertical="center" wrapText="1"/>
      <protection locked="0"/>
    </xf>
    <xf numFmtId="0" fontId="81" fillId="5" borderId="22" xfId="0" applyFont="1" applyFill="1" applyBorder="1" applyAlignment="1" applyProtection="1">
      <alignment horizontal="right" vertical="center" wrapText="1"/>
    </xf>
    <xf numFmtId="0" fontId="81" fillId="5" borderId="4" xfId="0" applyFont="1" applyFill="1" applyBorder="1" applyAlignment="1" applyProtection="1">
      <alignment vertical="center"/>
    </xf>
    <xf numFmtId="0" fontId="81" fillId="5" borderId="24" xfId="0" applyFont="1" applyFill="1" applyBorder="1" applyAlignment="1" applyProtection="1">
      <alignment horizontal="right" vertical="center" wrapText="1"/>
    </xf>
    <xf numFmtId="0" fontId="81" fillId="5" borderId="13" xfId="0" applyFont="1" applyFill="1" applyBorder="1" applyAlignment="1" applyProtection="1">
      <alignment vertical="center"/>
    </xf>
    <xf numFmtId="0" fontId="81" fillId="5" borderId="18" xfId="0" applyFont="1" applyFill="1" applyBorder="1" applyProtection="1">
      <alignment vertical="center"/>
    </xf>
    <xf numFmtId="0" fontId="81" fillId="5" borderId="50" xfId="0" applyFont="1" applyFill="1" applyBorder="1" applyAlignment="1" applyProtection="1">
      <alignment horizontal="right" vertical="center" wrapText="1"/>
    </xf>
    <xf numFmtId="0" fontId="81" fillId="5" borderId="17" xfId="0" applyFont="1" applyFill="1" applyBorder="1" applyAlignment="1" applyProtection="1">
      <alignment vertical="center"/>
    </xf>
    <xf numFmtId="0" fontId="81" fillId="5" borderId="11" xfId="0" applyFont="1" applyFill="1" applyBorder="1" applyAlignment="1" applyProtection="1">
      <alignment horizontal="right" vertical="center" wrapText="1"/>
    </xf>
    <xf numFmtId="10" fontId="81" fillId="5" borderId="2" xfId="0" applyNumberFormat="1" applyFont="1" applyFill="1" applyBorder="1" applyAlignment="1" applyProtection="1">
      <alignment horizontal="center" vertical="center"/>
    </xf>
    <xf numFmtId="0" fontId="81" fillId="5" borderId="12" xfId="0" applyFont="1" applyFill="1" applyBorder="1" applyProtection="1">
      <alignment vertical="center"/>
    </xf>
    <xf numFmtId="0" fontId="81" fillId="5" borderId="5" xfId="0" applyFont="1" applyFill="1" applyBorder="1" applyAlignment="1" applyProtection="1">
      <alignment horizontal="right" vertical="center"/>
    </xf>
    <xf numFmtId="0" fontId="81" fillId="2" borderId="9" xfId="0" applyFont="1" applyFill="1" applyBorder="1" applyAlignment="1" applyProtection="1">
      <alignment horizontal="center" vertical="center" wrapText="1"/>
      <protection locked="0"/>
    </xf>
    <xf numFmtId="0" fontId="81" fillId="5" borderId="4" xfId="0" applyFont="1" applyFill="1" applyBorder="1" applyAlignment="1" applyProtection="1">
      <alignment horizontal="right" vertical="center"/>
    </xf>
    <xf numFmtId="0" fontId="81" fillId="5" borderId="2" xfId="0" applyFont="1" applyFill="1" applyBorder="1" applyProtection="1">
      <alignment vertical="center"/>
    </xf>
    <xf numFmtId="0" fontId="81" fillId="5" borderId="45" xfId="0" applyFont="1" applyFill="1" applyBorder="1" applyAlignment="1" applyProtection="1">
      <alignment horizontal="right" vertical="center"/>
    </xf>
    <xf numFmtId="0" fontId="81" fillId="5" borderId="44" xfId="0" applyFont="1" applyFill="1" applyBorder="1" applyAlignment="1" applyProtection="1">
      <alignment horizontal="center" vertical="center" wrapText="1"/>
    </xf>
    <xf numFmtId="10" fontId="81" fillId="5" borderId="44" xfId="0" applyNumberFormat="1" applyFont="1" applyFill="1" applyBorder="1" applyAlignment="1" applyProtection="1">
      <alignment horizontal="center" vertical="center"/>
    </xf>
    <xf numFmtId="9" fontId="81" fillId="5" borderId="2" xfId="0" applyNumberFormat="1" applyFont="1" applyFill="1" applyBorder="1" applyAlignment="1" applyProtection="1">
      <alignment horizontal="center" vertical="center" wrapText="1"/>
    </xf>
    <xf numFmtId="0" fontId="81" fillId="5" borderId="7" xfId="0" applyFont="1" applyFill="1" applyBorder="1" applyAlignment="1" applyProtection="1">
      <alignment horizontal="left" vertical="center" wrapText="1"/>
    </xf>
    <xf numFmtId="0" fontId="100" fillId="5" borderId="21" xfId="0" applyFont="1" applyFill="1" applyBorder="1" applyAlignment="1" applyProtection="1">
      <alignment horizontal="left" vertical="center" wrapText="1"/>
    </xf>
    <xf numFmtId="178" fontId="100" fillId="5" borderId="21" xfId="0" applyNumberFormat="1" applyFont="1" applyFill="1" applyBorder="1" applyAlignment="1" applyProtection="1">
      <alignment horizontal="center" vertical="center" wrapText="1"/>
    </xf>
    <xf numFmtId="0" fontId="100" fillId="5" borderId="21" xfId="0" applyFont="1" applyFill="1" applyBorder="1" applyAlignment="1" applyProtection="1">
      <alignment horizontal="center" vertical="center" wrapText="1"/>
    </xf>
    <xf numFmtId="0" fontId="81" fillId="5" borderId="51" xfId="0" applyFont="1" applyFill="1" applyBorder="1" applyAlignment="1" applyProtection="1">
      <alignment horizontal="left" vertical="center" wrapText="1"/>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178" fontId="91" fillId="5" borderId="2" xfId="0" applyNumberFormat="1" applyFont="1" applyFill="1" applyBorder="1" applyAlignment="1" applyProtection="1">
      <alignment horizontal="center" vertical="center" wrapText="1"/>
    </xf>
    <xf numFmtId="0" fontId="91" fillId="5" borderId="2" xfId="0" applyFont="1" applyFill="1" applyBorder="1" applyAlignment="1" applyProtection="1">
      <alignment horizontal="center" vertical="center" wrapText="1"/>
    </xf>
    <xf numFmtId="0" fontId="81" fillId="5" borderId="12" xfId="0" applyFont="1" applyFill="1" applyBorder="1" applyAlignment="1" applyProtection="1">
      <alignment horizontal="left" vertical="center" wrapText="1"/>
    </xf>
    <xf numFmtId="178" fontId="91" fillId="0" borderId="2" xfId="0" applyNumberFormat="1" applyFont="1" applyFill="1" applyBorder="1" applyAlignment="1" applyProtection="1">
      <alignment horizontal="center" vertical="center" wrapText="1"/>
      <protection locked="0"/>
    </xf>
    <xf numFmtId="49" fontId="90" fillId="5" borderId="11" xfId="0" applyNumberFormat="1" applyFont="1" applyFill="1" applyBorder="1" applyAlignment="1" applyProtection="1">
      <alignment horizontal="left" vertical="center" wrapText="1"/>
    </xf>
    <xf numFmtId="0" fontId="100" fillId="5" borderId="2" xfId="0" applyFont="1" applyFill="1" applyBorder="1" applyAlignment="1" applyProtection="1">
      <alignment horizontal="left" vertical="center" wrapText="1"/>
    </xf>
    <xf numFmtId="0" fontId="100" fillId="0" borderId="2"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xf>
    <xf numFmtId="178" fontId="100" fillId="5" borderId="2" xfId="0" applyNumberFormat="1" applyFont="1" applyFill="1" applyBorder="1" applyAlignment="1" applyProtection="1">
      <alignment horizontal="center" vertical="center" wrapText="1"/>
    </xf>
    <xf numFmtId="49" fontId="90" fillId="5" borderId="43" xfId="0" applyNumberFormat="1" applyFont="1" applyFill="1" applyBorder="1" applyAlignment="1" applyProtection="1">
      <alignment horizontal="left" vertical="center" wrapText="1"/>
    </xf>
    <xf numFmtId="0" fontId="100" fillId="5" borderId="44" xfId="0" applyFont="1" applyFill="1" applyBorder="1" applyAlignment="1" applyProtection="1">
      <alignment horizontal="left" vertical="center" wrapText="1"/>
    </xf>
    <xf numFmtId="178" fontId="100" fillId="5" borderId="44" xfId="0" applyNumberFormat="1" applyFont="1" applyFill="1" applyBorder="1" applyAlignment="1" applyProtection="1">
      <alignment horizontal="center" vertical="center" wrapText="1"/>
    </xf>
    <xf numFmtId="10" fontId="91" fillId="5" borderId="44" xfId="0" applyNumberFormat="1" applyFont="1" applyFill="1" applyBorder="1" applyAlignment="1" applyProtection="1">
      <alignment horizontal="center" vertical="center" wrapText="1"/>
    </xf>
    <xf numFmtId="0" fontId="81" fillId="5" borderId="46" xfId="0" applyFont="1" applyFill="1" applyBorder="1" applyAlignment="1" applyProtection="1">
      <alignment horizontal="left" vertical="center"/>
    </xf>
    <xf numFmtId="0" fontId="81" fillId="5" borderId="29" xfId="0" applyFont="1" applyFill="1" applyBorder="1" applyAlignment="1" applyProtection="1">
      <alignment horizontal="left" vertical="center" wrapText="1"/>
    </xf>
    <xf numFmtId="0" fontId="81" fillId="5" borderId="30" xfId="0"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49" fontId="81" fillId="5" borderId="11" xfId="0" applyNumberFormat="1" applyFont="1" applyFill="1" applyBorder="1" applyAlignment="1" applyProtection="1">
      <alignment vertical="center" wrapText="1"/>
    </xf>
    <xf numFmtId="0" fontId="91" fillId="0" borderId="2" xfId="0" applyFont="1" applyFill="1" applyBorder="1" applyAlignment="1" applyProtection="1">
      <alignment horizontal="center" vertical="center" wrapText="1"/>
      <protection locked="0"/>
    </xf>
    <xf numFmtId="0" fontId="76" fillId="5" borderId="2" xfId="4" applyFont="1" applyFill="1" applyBorder="1" applyAlignment="1" applyProtection="1">
      <alignment horizontal="left" vertical="center" wrapText="1"/>
    </xf>
    <xf numFmtId="0" fontId="76" fillId="2" borderId="2" xfId="4" applyFont="1" applyFill="1" applyBorder="1" applyAlignment="1" applyProtection="1">
      <alignment horizontal="center" vertical="center" wrapText="1"/>
      <protection locked="0"/>
    </xf>
    <xf numFmtId="178" fontId="91" fillId="0" borderId="12" xfId="0" applyNumberFormat="1" applyFont="1" applyFill="1" applyBorder="1" applyAlignment="1" applyProtection="1">
      <alignment horizontal="center" vertical="center" wrapText="1"/>
      <protection locked="0"/>
    </xf>
    <xf numFmtId="0" fontId="91" fillId="5" borderId="21" xfId="0" applyFont="1" applyFill="1" applyBorder="1" applyAlignment="1" applyProtection="1">
      <alignment horizontal="left" vertical="center" wrapText="1"/>
    </xf>
    <xf numFmtId="9" fontId="76" fillId="5" borderId="0" xfId="0" applyNumberFormat="1" applyFont="1" applyFill="1" applyBorder="1" applyAlignment="1" applyProtection="1">
      <alignment horizontal="center" vertical="center"/>
    </xf>
    <xf numFmtId="10" fontId="91" fillId="5" borderId="2" xfId="0" applyNumberFormat="1" applyFont="1" applyFill="1" applyBorder="1" applyAlignment="1" applyProtection="1">
      <alignment horizontal="center" vertical="center" wrapText="1"/>
    </xf>
    <xf numFmtId="0" fontId="76" fillId="5" borderId="8" xfId="0" applyFont="1" applyFill="1" applyBorder="1" applyAlignment="1" applyProtection="1">
      <alignment horizontal="left" vertical="center"/>
    </xf>
    <xf numFmtId="0" fontId="81" fillId="2" borderId="8" xfId="0" applyFont="1" applyFill="1" applyBorder="1" applyAlignment="1" applyProtection="1">
      <alignment horizontal="left" vertical="center" wrapText="1"/>
      <protection locked="0"/>
    </xf>
    <xf numFmtId="190" fontId="91" fillId="5" borderId="2" xfId="0" applyNumberFormat="1" applyFont="1" applyFill="1" applyBorder="1" applyAlignment="1" applyProtection="1">
      <alignment horizontal="center" vertical="center" wrapText="1"/>
    </xf>
    <xf numFmtId="10" fontId="90" fillId="5" borderId="5" xfId="0" applyNumberFormat="1" applyFont="1" applyFill="1" applyBorder="1" applyAlignment="1" applyProtection="1">
      <alignment horizontal="center" vertical="center" wrapText="1"/>
    </xf>
    <xf numFmtId="182" fontId="100" fillId="5" borderId="2" xfId="0" applyNumberFormat="1" applyFont="1" applyFill="1" applyBorder="1" applyAlignment="1" applyProtection="1">
      <alignment horizontal="center" vertical="center" wrapText="1"/>
    </xf>
    <xf numFmtId="0" fontId="90" fillId="5" borderId="44" xfId="0" applyFont="1" applyFill="1" applyBorder="1" applyAlignment="1" applyProtection="1">
      <alignment horizontal="center" vertical="center" wrapText="1"/>
    </xf>
    <xf numFmtId="0" fontId="91" fillId="5" borderId="44" xfId="0" applyFont="1" applyFill="1" applyBorder="1" applyAlignment="1" applyProtection="1">
      <alignment horizontal="center" vertical="center" wrapText="1"/>
    </xf>
    <xf numFmtId="0" fontId="81" fillId="5" borderId="45" xfId="0" applyFont="1" applyFill="1" applyBorder="1" applyAlignment="1" applyProtection="1">
      <alignment horizontal="left" vertical="center"/>
    </xf>
    <xf numFmtId="0" fontId="81" fillId="5" borderId="56" xfId="0" applyFont="1" applyFill="1" applyBorder="1" applyAlignment="1" applyProtection="1">
      <alignment horizontal="left" vertical="center" wrapText="1"/>
    </xf>
    <xf numFmtId="0" fontId="76" fillId="5" borderId="48" xfId="4" applyFont="1" applyFill="1" applyBorder="1" applyAlignment="1" applyProtection="1">
      <alignment horizontal="left" vertical="center" wrapText="1"/>
    </xf>
    <xf numFmtId="0" fontId="81" fillId="5" borderId="57" xfId="4" applyFont="1" applyFill="1" applyBorder="1" applyAlignment="1" applyProtection="1">
      <alignment horizontal="left" vertical="center" wrapText="1"/>
    </xf>
    <xf numFmtId="0" fontId="81" fillId="5" borderId="16" xfId="4" applyFont="1" applyFill="1" applyBorder="1" applyAlignment="1" applyProtection="1">
      <alignment horizontal="left" vertical="center" wrapText="1"/>
    </xf>
    <xf numFmtId="0" fontId="91" fillId="5" borderId="5" xfId="0" applyFont="1" applyFill="1" applyBorder="1" applyAlignment="1" applyProtection="1">
      <alignment horizontal="center" vertical="center" wrapText="1"/>
    </xf>
    <xf numFmtId="190" fontId="91" fillId="0" borderId="2" xfId="0" applyNumberFormat="1" applyFont="1" applyFill="1" applyBorder="1" applyAlignment="1" applyProtection="1">
      <alignment horizontal="center" vertical="center" wrapText="1"/>
      <protection locked="0"/>
    </xf>
    <xf numFmtId="10" fontId="81" fillId="5" borderId="5" xfId="0" applyNumberFormat="1"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10" fontId="81" fillId="2" borderId="16" xfId="0" applyNumberFormat="1" applyFont="1" applyFill="1" applyBorder="1" applyAlignment="1" applyProtection="1">
      <alignment horizontal="left" vertical="center" wrapText="1"/>
      <protection locked="0"/>
    </xf>
    <xf numFmtId="0" fontId="81" fillId="5" borderId="48" xfId="4" applyFont="1" applyFill="1" applyBorder="1" applyAlignment="1" applyProtection="1">
      <alignment horizontal="left" vertical="center" wrapText="1"/>
    </xf>
    <xf numFmtId="0" fontId="156" fillId="5" borderId="59" xfId="2" applyFont="1" applyFill="1" applyBorder="1" applyAlignment="1" applyProtection="1">
      <alignment vertical="center"/>
    </xf>
    <xf numFmtId="0" fontId="75" fillId="5" borderId="0" xfId="2" applyFont="1" applyFill="1" applyBorder="1" applyAlignment="1" applyProtection="1">
      <alignment vertical="center"/>
    </xf>
    <xf numFmtId="0" fontId="102" fillId="5" borderId="2" xfId="2" applyFont="1" applyFill="1" applyBorder="1" applyAlignment="1" applyProtection="1">
      <alignment vertical="center"/>
    </xf>
    <xf numFmtId="178" fontId="102" fillId="5" borderId="2" xfId="2" applyNumberFormat="1" applyFont="1" applyFill="1" applyBorder="1" applyAlignment="1" applyProtection="1">
      <alignment horizontal="right" vertical="center"/>
    </xf>
    <xf numFmtId="0" fontId="102" fillId="5" borderId="10" xfId="2" applyFont="1" applyFill="1" applyBorder="1" applyAlignment="1" applyProtection="1">
      <alignment horizontal="right" vertical="center"/>
    </xf>
    <xf numFmtId="0" fontId="88" fillId="5" borderId="10" xfId="0" applyFont="1" applyFill="1" applyBorder="1" applyAlignment="1" applyProtection="1">
      <alignment vertical="center"/>
    </xf>
    <xf numFmtId="0" fontId="102" fillId="5" borderId="2" xfId="0" applyFont="1" applyFill="1" applyBorder="1" applyAlignment="1" applyProtection="1">
      <alignment vertical="center"/>
    </xf>
    <xf numFmtId="0" fontId="103" fillId="5" borderId="0" xfId="0" applyFont="1" applyFill="1" applyAlignment="1" applyProtection="1">
      <alignment horizontal="center" vertical="center"/>
    </xf>
    <xf numFmtId="0" fontId="102" fillId="5" borderId="0" xfId="2" applyFont="1" applyFill="1" applyBorder="1" applyAlignment="1" applyProtection="1">
      <alignment vertical="center"/>
    </xf>
    <xf numFmtId="0" fontId="102" fillId="5" borderId="4" xfId="0" applyFont="1" applyFill="1" applyBorder="1" applyAlignment="1" applyProtection="1">
      <alignment vertical="center"/>
    </xf>
    <xf numFmtId="0" fontId="159" fillId="5" borderId="32" xfId="0" applyFont="1" applyFill="1" applyBorder="1" applyAlignment="1" applyProtection="1">
      <alignment horizontal="left" vertical="center"/>
    </xf>
    <xf numFmtId="0" fontId="75" fillId="5" borderId="59" xfId="0" applyFont="1" applyFill="1" applyBorder="1" applyAlignment="1" applyProtection="1"/>
    <xf numFmtId="0" fontId="75" fillId="5" borderId="30" xfId="0" applyFont="1" applyFill="1" applyBorder="1" applyAlignment="1" applyProtection="1"/>
    <xf numFmtId="0" fontId="80" fillId="5" borderId="11" xfId="0" applyFont="1" applyFill="1" applyBorder="1" applyAlignment="1" applyProtection="1">
      <alignment horizontal="center"/>
    </xf>
    <xf numFmtId="0" fontId="80" fillId="5" borderId="4" xfId="0" applyFont="1" applyFill="1" applyBorder="1" applyAlignment="1" applyProtection="1"/>
    <xf numFmtId="185" fontId="81" fillId="6" borderId="2" xfId="0" applyNumberFormat="1" applyFont="1" applyFill="1" applyBorder="1" applyAlignment="1" applyProtection="1">
      <alignment horizontal="center" vertical="center" wrapText="1"/>
      <protection locked="0"/>
    </xf>
    <xf numFmtId="185" fontId="81" fillId="6" borderId="12"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xf numFmtId="185" fontId="81" fillId="0" borderId="2" xfId="0" applyNumberFormat="1" applyFont="1" applyFill="1" applyBorder="1" applyAlignment="1" applyProtection="1">
      <alignment horizontal="center"/>
      <protection locked="0"/>
    </xf>
    <xf numFmtId="185" fontId="81" fillId="0" borderId="12" xfId="0" applyNumberFormat="1" applyFont="1" applyFill="1" applyBorder="1" applyAlignment="1" applyProtection="1">
      <alignment horizontal="center"/>
      <protection locked="0"/>
    </xf>
    <xf numFmtId="177" fontId="157" fillId="5" borderId="2" xfId="0" applyNumberFormat="1" applyFont="1" applyFill="1" applyBorder="1" applyAlignment="1" applyProtection="1">
      <alignment horizontal="center" vertical="center"/>
    </xf>
    <xf numFmtId="177" fontId="157" fillId="5" borderId="12" xfId="0" applyNumberFormat="1" applyFont="1" applyFill="1" applyBorder="1" applyAlignment="1" applyProtection="1">
      <alignment horizontal="center" vertical="center"/>
    </xf>
    <xf numFmtId="0" fontId="80" fillId="5" borderId="11" xfId="0" applyFont="1" applyFill="1" applyBorder="1" applyAlignment="1" applyProtection="1">
      <alignment horizontal="left"/>
    </xf>
    <xf numFmtId="0" fontId="80" fillId="5" borderId="5" xfId="0" applyFont="1" applyFill="1" applyBorder="1" applyAlignment="1" applyProtection="1"/>
    <xf numFmtId="185" fontId="80" fillId="5" borderId="2" xfId="0" applyNumberFormat="1" applyFont="1" applyFill="1" applyBorder="1" applyAlignment="1" applyProtection="1">
      <alignment horizontal="center"/>
    </xf>
    <xf numFmtId="0" fontId="80" fillId="5" borderId="2" xfId="0" applyFont="1" applyFill="1" applyBorder="1" applyAlignment="1" applyProtection="1">
      <alignment horizontal="center"/>
    </xf>
    <xf numFmtId="0" fontId="80" fillId="5" borderId="8" xfId="0" applyFont="1" applyFill="1" applyBorder="1" applyAlignment="1" applyProtection="1"/>
    <xf numFmtId="0" fontId="80" fillId="5" borderId="16" xfId="0" applyFont="1" applyFill="1" applyBorder="1" applyAlignment="1" applyProtection="1"/>
    <xf numFmtId="0" fontId="81" fillId="5" borderId="5" xfId="2" applyFont="1" applyFill="1" applyBorder="1" applyAlignment="1" applyProtection="1"/>
    <xf numFmtId="178" fontId="81" fillId="5" borderId="2" xfId="0" applyNumberFormat="1" applyFont="1" applyFill="1" applyBorder="1" applyAlignment="1" applyProtection="1">
      <alignment horizontal="center" vertical="center"/>
    </xf>
    <xf numFmtId="180" fontId="81" fillId="5" borderId="2" xfId="2" applyNumberFormat="1" applyFont="1" applyFill="1" applyBorder="1" applyAlignment="1" applyProtection="1">
      <alignment horizontal="center"/>
    </xf>
    <xf numFmtId="182" fontId="81" fillId="5" borderId="2" xfId="2" applyNumberFormat="1" applyFont="1" applyFill="1" applyBorder="1" applyAlignment="1" applyProtection="1">
      <alignment horizontal="center"/>
    </xf>
    <xf numFmtId="9" fontId="81" fillId="5" borderId="2" xfId="2" applyNumberFormat="1" applyFont="1" applyFill="1" applyBorder="1" applyAlignment="1" applyProtection="1">
      <alignment horizontal="center"/>
    </xf>
    <xf numFmtId="178" fontId="81" fillId="5" borderId="2" xfId="2" applyNumberFormat="1" applyFont="1" applyFill="1" applyBorder="1" applyAlignment="1" applyProtection="1">
      <alignment horizontal="center"/>
    </xf>
    <xf numFmtId="178" fontId="81" fillId="5" borderId="2" xfId="2" applyNumberFormat="1" applyFont="1" applyFill="1" applyBorder="1" applyAlignment="1" applyProtection="1"/>
    <xf numFmtId="10" fontId="81" fillId="5" borderId="2" xfId="2" applyNumberFormat="1" applyFont="1" applyFill="1" applyBorder="1" applyAlignment="1" applyProtection="1">
      <alignment horizontal="center"/>
    </xf>
    <xf numFmtId="0" fontId="81" fillId="5" borderId="8" xfId="0" applyFont="1" applyFill="1" applyBorder="1" applyAlignment="1" applyProtection="1"/>
    <xf numFmtId="0" fontId="81" fillId="5" borderId="16" xfId="0" applyFont="1" applyFill="1" applyBorder="1" applyAlignment="1" applyProtection="1"/>
    <xf numFmtId="0" fontId="80" fillId="5" borderId="5" xfId="2" applyFont="1" applyFill="1" applyBorder="1" applyAlignment="1" applyProtection="1"/>
    <xf numFmtId="178" fontId="80" fillId="5" borderId="2" xfId="2" applyNumberFormat="1" applyFont="1" applyFill="1" applyBorder="1" applyAlignment="1" applyProtection="1">
      <alignment horizontal="center"/>
    </xf>
    <xf numFmtId="0" fontId="80" fillId="5" borderId="2" xfId="2" applyFont="1" applyFill="1" applyBorder="1" applyAlignment="1" applyProtection="1"/>
    <xf numFmtId="178" fontId="80" fillId="5" borderId="2" xfId="2" applyNumberFormat="1" applyFont="1" applyFill="1" applyBorder="1" applyAlignment="1" applyProtection="1"/>
    <xf numFmtId="0" fontId="76" fillId="5" borderId="5" xfId="0" applyFont="1" applyFill="1" applyBorder="1" applyAlignment="1" applyProtection="1"/>
    <xf numFmtId="0" fontId="76" fillId="5" borderId="8" xfId="0" applyFont="1" applyFill="1" applyBorder="1" applyAlignment="1" applyProtection="1"/>
    <xf numFmtId="0" fontId="76" fillId="5" borderId="16" xfId="0" applyFont="1" applyFill="1" applyBorder="1" applyAlignment="1" applyProtection="1"/>
    <xf numFmtId="10" fontId="80" fillId="5" borderId="2" xfId="2" applyNumberFormat="1" applyFont="1" applyFill="1" applyBorder="1" applyAlignment="1" applyProtection="1">
      <alignment horizontal="center"/>
    </xf>
    <xf numFmtId="0" fontId="80" fillId="5" borderId="2" xfId="0" applyFont="1" applyFill="1" applyBorder="1" applyAlignment="1" applyProtection="1">
      <alignment horizontal="right" vertical="center"/>
    </xf>
    <xf numFmtId="178" fontId="80" fillId="5" borderId="2" xfId="2" applyNumberFormat="1" applyFont="1" applyFill="1" applyBorder="1" applyAlignment="1" applyProtection="1">
      <alignment vertical="center"/>
    </xf>
    <xf numFmtId="178" fontId="80" fillId="5" borderId="8" xfId="2" applyNumberFormat="1" applyFont="1" applyFill="1" applyBorder="1" applyAlignment="1" applyProtection="1">
      <alignment vertical="center"/>
    </xf>
    <xf numFmtId="178" fontId="80" fillId="5" borderId="0" xfId="0" applyNumberFormat="1" applyFont="1" applyFill="1" applyBorder="1" applyAlignment="1" applyProtection="1">
      <alignment horizontal="center"/>
    </xf>
    <xf numFmtId="10" fontId="80" fillId="5" borderId="10" xfId="0" applyNumberFormat="1" applyFont="1" applyFill="1" applyBorder="1" applyAlignment="1" applyProtection="1">
      <alignment horizontal="center" vertical="center"/>
    </xf>
    <xf numFmtId="186" fontId="81" fillId="5" borderId="2" xfId="0" applyNumberFormat="1" applyFont="1" applyFill="1" applyBorder="1" applyAlignment="1" applyProtection="1">
      <alignment horizontal="center" vertical="center"/>
    </xf>
    <xf numFmtId="178" fontId="81" fillId="5" borderId="8" xfId="2" applyNumberFormat="1" applyFont="1" applyFill="1" applyBorder="1" applyAlignment="1" applyProtection="1">
      <alignment vertical="center"/>
    </xf>
    <xf numFmtId="10" fontId="81" fillId="5" borderId="10" xfId="0" applyNumberFormat="1" applyFont="1" applyFill="1" applyBorder="1" applyAlignment="1" applyProtection="1">
      <alignment horizontal="center" vertical="center"/>
    </xf>
    <xf numFmtId="178" fontId="81" fillId="5" borderId="2" xfId="2" applyNumberFormat="1" applyFont="1" applyFill="1" applyBorder="1" applyAlignment="1" applyProtection="1">
      <alignment vertical="center"/>
    </xf>
    <xf numFmtId="0" fontId="80" fillId="5" borderId="2" xfId="2" applyFont="1" applyFill="1" applyBorder="1" applyAlignment="1" applyProtection="1">
      <alignment horizontal="left"/>
    </xf>
    <xf numFmtId="186" fontId="80" fillId="5" borderId="2" xfId="0" applyNumberFormat="1" applyFont="1" applyFill="1" applyBorder="1" applyAlignment="1" applyProtection="1">
      <alignment horizontal="right" vertical="center"/>
    </xf>
    <xf numFmtId="178" fontId="80" fillId="5" borderId="9" xfId="0" applyNumberFormat="1" applyFont="1" applyFill="1" applyBorder="1" applyAlignment="1" applyProtection="1">
      <alignment horizontal="center" vertical="center" wrapText="1"/>
    </xf>
    <xf numFmtId="10" fontId="80" fillId="5" borderId="2" xfId="0" applyNumberFormat="1" applyFont="1" applyFill="1" applyBorder="1" applyAlignment="1" applyProtection="1">
      <alignment horizontal="center" vertical="center" wrapText="1"/>
    </xf>
    <xf numFmtId="10" fontId="81" fillId="5" borderId="2" xfId="0" applyNumberFormat="1" applyFont="1" applyFill="1" applyBorder="1" applyAlignment="1" applyProtection="1">
      <alignment horizontal="center" vertical="center" wrapText="1"/>
    </xf>
    <xf numFmtId="178" fontId="81" fillId="5" borderId="8" xfId="2" applyNumberFormat="1" applyFont="1" applyFill="1" applyBorder="1" applyAlignment="1" applyProtection="1"/>
    <xf numFmtId="0" fontId="80" fillId="5" borderId="60" xfId="0" applyFont="1" applyFill="1" applyBorder="1" applyAlignment="1" applyProtection="1"/>
    <xf numFmtId="0" fontId="80" fillId="5" borderId="56" xfId="0" applyFont="1" applyFill="1" applyBorder="1" applyAlignment="1" applyProtection="1"/>
    <xf numFmtId="185" fontId="75" fillId="5" borderId="44" xfId="0" applyNumberFormat="1" applyFont="1" applyFill="1" applyBorder="1" applyAlignment="1" applyProtection="1">
      <alignment horizontal="center"/>
    </xf>
    <xf numFmtId="0" fontId="80" fillId="5" borderId="48" xfId="0" applyFont="1" applyFill="1" applyBorder="1" applyAlignment="1" applyProtection="1"/>
    <xf numFmtId="10" fontId="80" fillId="5" borderId="2" xfId="0" applyNumberFormat="1" applyFont="1" applyFill="1" applyBorder="1" applyAlignment="1" applyProtection="1">
      <alignment horizontal="center"/>
    </xf>
    <xf numFmtId="0" fontId="81" fillId="5" borderId="9" xfId="0" applyNumberFormat="1" applyFont="1" applyFill="1" applyBorder="1" applyAlignment="1" applyProtection="1">
      <alignment horizontal="center"/>
    </xf>
    <xf numFmtId="0" fontId="81" fillId="5" borderId="0" xfId="0" applyNumberFormat="1" applyFont="1" applyFill="1" applyBorder="1" applyAlignment="1" applyProtection="1">
      <alignment horizontal="center"/>
    </xf>
    <xf numFmtId="0" fontId="80" fillId="5" borderId="2" xfId="0" applyNumberFormat="1" applyFont="1" applyFill="1" applyBorder="1" applyAlignment="1" applyProtection="1">
      <alignment horizontal="right" vertical="center"/>
    </xf>
    <xf numFmtId="0" fontId="81" fillId="5"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wrapText="1"/>
    </xf>
    <xf numFmtId="182" fontId="161" fillId="5" borderId="2" xfId="0" applyNumberFormat="1" applyFont="1" applyFill="1" applyBorder="1" applyAlignment="1" applyProtection="1">
      <alignment horizontal="center"/>
    </xf>
    <xf numFmtId="186" fontId="161" fillId="5" borderId="2" xfId="0" applyNumberFormat="1" applyFont="1" applyFill="1" applyBorder="1" applyAlignment="1" applyProtection="1">
      <alignment horizontal="center" vertical="center"/>
    </xf>
    <xf numFmtId="178" fontId="161" fillId="5" borderId="8" xfId="2" applyNumberFormat="1" applyFont="1" applyFill="1" applyBorder="1" applyAlignment="1" applyProtection="1">
      <alignment vertical="center"/>
    </xf>
    <xf numFmtId="10" fontId="161" fillId="5" borderId="10" xfId="0" applyNumberFormat="1" applyFont="1" applyFill="1" applyBorder="1" applyAlignment="1" applyProtection="1">
      <alignment horizontal="center" vertical="center"/>
    </xf>
    <xf numFmtId="0" fontId="161" fillId="5" borderId="8" xfId="0" applyFont="1" applyFill="1" applyBorder="1" applyAlignment="1" applyProtection="1"/>
    <xf numFmtId="0" fontId="161" fillId="5" borderId="5" xfId="0" applyFont="1" applyFill="1" applyBorder="1" applyAlignment="1" applyProtection="1">
      <alignment horizontal="center" vertical="center"/>
    </xf>
    <xf numFmtId="178" fontId="161" fillId="5" borderId="2" xfId="2" applyNumberFormat="1" applyFont="1" applyFill="1" applyBorder="1" applyAlignment="1" applyProtection="1">
      <alignment vertical="center"/>
    </xf>
    <xf numFmtId="10" fontId="161" fillId="5" borderId="2" xfId="0" applyNumberFormat="1" applyFont="1" applyFill="1" applyBorder="1" applyAlignment="1" applyProtection="1">
      <alignment horizontal="center" vertical="center"/>
    </xf>
    <xf numFmtId="0" fontId="161" fillId="5" borderId="0" xfId="0" applyFont="1" applyFill="1" applyBorder="1" applyAlignment="1" applyProtection="1">
      <alignment horizontal="center" vertical="center" wrapText="1"/>
    </xf>
    <xf numFmtId="10" fontId="161" fillId="5" borderId="2" xfId="0" applyNumberFormat="1" applyFont="1" applyFill="1" applyBorder="1" applyAlignment="1" applyProtection="1">
      <alignment vertical="center" wrapText="1"/>
    </xf>
    <xf numFmtId="0" fontId="156" fillId="5" borderId="4" xfId="0" applyFont="1" applyFill="1" applyBorder="1" applyAlignment="1" applyProtection="1">
      <alignment vertical="center"/>
    </xf>
    <xf numFmtId="0" fontId="106" fillId="5" borderId="14" xfId="0" applyFont="1" applyFill="1" applyBorder="1" applyAlignment="1" applyProtection="1">
      <alignment horizontal="right" vertical="center"/>
    </xf>
    <xf numFmtId="0" fontId="106" fillId="5" borderId="0" xfId="0" applyFont="1" applyFill="1" applyAlignment="1" applyProtection="1">
      <alignment horizontal="center" vertical="center"/>
    </xf>
    <xf numFmtId="0" fontId="73" fillId="5" borderId="14" xfId="0" applyFont="1" applyFill="1" applyBorder="1" applyAlignment="1" applyProtection="1">
      <alignment vertical="center"/>
    </xf>
    <xf numFmtId="0" fontId="106" fillId="5" borderId="14" xfId="0" applyFont="1" applyFill="1" applyBorder="1" applyAlignment="1" applyProtection="1">
      <alignment vertical="center"/>
    </xf>
    <xf numFmtId="188" fontId="106" fillId="5" borderId="14" xfId="0" applyNumberFormat="1" applyFont="1" applyFill="1" applyBorder="1" applyAlignment="1" applyProtection="1">
      <alignment horizontal="center" vertical="center"/>
    </xf>
    <xf numFmtId="178" fontId="102" fillId="5" borderId="2" xfId="0" applyNumberFormat="1" applyFont="1" applyFill="1" applyBorder="1" applyAlignment="1" applyProtection="1">
      <alignment horizontal="right" vertical="center"/>
    </xf>
    <xf numFmtId="0" fontId="102" fillId="5" borderId="10" xfId="2" applyFont="1" applyFill="1" applyBorder="1" applyAlignment="1" applyProtection="1">
      <alignment vertical="center"/>
    </xf>
    <xf numFmtId="185" fontId="102" fillId="5" borderId="10" xfId="0" applyNumberFormat="1" applyFont="1" applyFill="1" applyBorder="1" applyAlignment="1" applyProtection="1">
      <alignment horizontal="right" vertical="center"/>
    </xf>
    <xf numFmtId="0" fontId="102" fillId="5" borderId="10" xfId="0" applyFont="1" applyFill="1" applyBorder="1" applyAlignment="1" applyProtection="1">
      <alignment vertical="center"/>
    </xf>
    <xf numFmtId="0" fontId="88" fillId="5" borderId="26" xfId="0" applyFont="1" applyFill="1" applyBorder="1" applyAlignment="1" applyProtection="1">
      <alignment vertical="center" wrapText="1"/>
    </xf>
    <xf numFmtId="0" fontId="88" fillId="5" borderId="28" xfId="0" applyFont="1" applyFill="1" applyBorder="1" applyAlignment="1" applyProtection="1">
      <alignment vertical="center" wrapText="1"/>
    </xf>
    <xf numFmtId="188" fontId="76" fillId="5" borderId="9" xfId="0" applyNumberFormat="1" applyFont="1" applyFill="1" applyBorder="1" applyAlignment="1" applyProtection="1">
      <alignment horizontal="center" vertical="center" wrapText="1"/>
    </xf>
    <xf numFmtId="0" fontId="88" fillId="5" borderId="31" xfId="0" applyFont="1" applyFill="1" applyBorder="1" applyAlignment="1" applyProtection="1">
      <alignment vertical="center" wrapText="1"/>
    </xf>
    <xf numFmtId="0" fontId="88" fillId="5" borderId="0" xfId="0" applyFont="1" applyFill="1" applyBorder="1" applyAlignment="1" applyProtection="1">
      <alignment vertical="center" wrapText="1"/>
    </xf>
    <xf numFmtId="0" fontId="88" fillId="5" borderId="54" xfId="0" applyFont="1" applyFill="1" applyBorder="1" applyAlignment="1" applyProtection="1">
      <alignment vertical="center" wrapText="1"/>
    </xf>
    <xf numFmtId="0" fontId="88" fillId="5" borderId="61" xfId="0" applyFont="1" applyFill="1" applyBorder="1" applyAlignment="1" applyProtection="1">
      <alignment vertical="center" wrapText="1"/>
    </xf>
    <xf numFmtId="184" fontId="76" fillId="5" borderId="33" xfId="0" applyNumberFormat="1" applyFont="1" applyFill="1" applyBorder="1" applyAlignment="1" applyProtection="1">
      <alignment horizontal="center" vertical="center" wrapText="1"/>
    </xf>
    <xf numFmtId="0" fontId="76" fillId="5" borderId="34" xfId="0" applyNumberFormat="1" applyFont="1" applyFill="1" applyBorder="1" applyAlignment="1" applyProtection="1">
      <alignment horizontal="center" vertical="center" wrapText="1"/>
    </xf>
    <xf numFmtId="184" fontId="76" fillId="0" borderId="62" xfId="0" applyNumberFormat="1" applyFont="1" applyFill="1" applyBorder="1" applyAlignment="1" applyProtection="1">
      <alignment horizontal="center" vertical="center" wrapText="1"/>
      <protection locked="0"/>
    </xf>
    <xf numFmtId="0" fontId="76" fillId="5" borderId="49" xfId="0" applyNumberFormat="1" applyFont="1" applyFill="1" applyBorder="1" applyAlignment="1" applyProtection="1">
      <alignment horizontal="center" vertical="center" wrapText="1"/>
    </xf>
    <xf numFmtId="184" fontId="76" fillId="0" borderId="33" xfId="0" applyNumberFormat="1" applyFont="1" applyFill="1" applyBorder="1" applyAlignment="1" applyProtection="1">
      <alignment horizontal="center" vertical="center" wrapText="1"/>
      <protection locked="0"/>
    </xf>
    <xf numFmtId="0" fontId="76" fillId="5" borderId="9" xfId="0" applyNumberFormat="1" applyFont="1" applyFill="1" applyBorder="1" applyAlignment="1" applyProtection="1">
      <alignment horizontal="center" vertical="center" wrapText="1"/>
    </xf>
    <xf numFmtId="49" fontId="76" fillId="2" borderId="33" xfId="0" applyNumberFormat="1" applyFont="1" applyFill="1" applyBorder="1" applyAlignment="1" applyProtection="1">
      <alignment horizontal="center" vertical="center" wrapText="1"/>
      <protection locked="0"/>
    </xf>
    <xf numFmtId="0" fontId="76" fillId="2" borderId="59"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wrapText="1"/>
    </xf>
    <xf numFmtId="0" fontId="76" fillId="0" borderId="50" xfId="0" applyNumberFormat="1" applyFont="1" applyFill="1" applyBorder="1" applyAlignment="1" applyProtection="1">
      <alignment horizontal="center" vertical="center" wrapText="1"/>
      <protection locked="0"/>
    </xf>
    <xf numFmtId="49" fontId="76" fillId="0" borderId="50" xfId="0" applyNumberFormat="1" applyFont="1" applyFill="1" applyBorder="1" applyAlignment="1" applyProtection="1">
      <alignment horizontal="center" vertical="center" wrapText="1"/>
      <protection locked="0"/>
    </xf>
    <xf numFmtId="49" fontId="76" fillId="0" borderId="20" xfId="0" applyNumberFormat="1" applyFont="1" applyFill="1" applyBorder="1" applyAlignment="1" applyProtection="1">
      <alignment horizontal="center" vertical="center" wrapText="1"/>
      <protection locked="0"/>
    </xf>
    <xf numFmtId="0" fontId="104" fillId="5" borderId="9" xfId="0" applyNumberFormat="1" applyFont="1" applyFill="1" applyBorder="1" applyAlignment="1" applyProtection="1">
      <alignment horizontal="center" vertical="center" wrapText="1"/>
    </xf>
    <xf numFmtId="0" fontId="88" fillId="5" borderId="24" xfId="0" applyFont="1" applyFill="1" applyBorder="1" applyAlignment="1" applyProtection="1">
      <alignment vertical="center" wrapText="1"/>
    </xf>
    <xf numFmtId="0" fontId="76" fillId="0" borderId="11" xfId="0" applyNumberFormat="1" applyFont="1" applyFill="1" applyBorder="1" applyAlignment="1" applyProtection="1">
      <alignment horizontal="center" vertical="center" wrapText="1"/>
      <protection locked="0"/>
    </xf>
    <xf numFmtId="0" fontId="76" fillId="0" borderId="9" xfId="0" applyNumberFormat="1" applyFont="1" applyFill="1" applyBorder="1" applyAlignment="1" applyProtection="1">
      <alignment horizontal="center" vertical="center" wrapText="1"/>
      <protection locked="0"/>
    </xf>
    <xf numFmtId="0" fontId="104" fillId="0" borderId="9"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wrapText="1"/>
    </xf>
    <xf numFmtId="0" fontId="76" fillId="0" borderId="4" xfId="0" applyFont="1" applyFill="1" applyBorder="1" applyAlignment="1" applyProtection="1">
      <alignment horizontal="center" vertical="center" wrapText="1"/>
      <protection locked="0"/>
    </xf>
    <xf numFmtId="0" fontId="76" fillId="5" borderId="63" xfId="0" applyNumberFormat="1" applyFont="1" applyFill="1" applyBorder="1" applyAlignment="1" applyProtection="1">
      <alignment horizontal="center" vertical="center" wrapText="1"/>
    </xf>
    <xf numFmtId="0" fontId="89" fillId="0" borderId="64" xfId="0" applyNumberFormat="1" applyFont="1" applyFill="1" applyBorder="1" applyAlignment="1" applyProtection="1">
      <alignment horizontal="center" vertical="center" wrapText="1"/>
      <protection locked="0"/>
    </xf>
    <xf numFmtId="0" fontId="89" fillId="5" borderId="12" xfId="0" applyNumberFormat="1" applyFont="1" applyFill="1" applyBorder="1" applyAlignment="1" applyProtection="1">
      <alignment horizontal="center" vertical="center" wrapText="1"/>
    </xf>
    <xf numFmtId="0" fontId="89" fillId="0" borderId="2" xfId="0" applyNumberFormat="1" applyFont="1" applyFill="1" applyBorder="1" applyAlignment="1" applyProtection="1">
      <alignment horizontal="center" vertical="center" wrapText="1"/>
      <protection locked="0"/>
    </xf>
    <xf numFmtId="0" fontId="89" fillId="0" borderId="11" xfId="0" applyNumberFormat="1" applyFont="1" applyFill="1" applyBorder="1" applyAlignment="1" applyProtection="1">
      <alignment horizontal="center" vertical="center" wrapText="1"/>
      <protection locked="0"/>
    </xf>
    <xf numFmtId="0" fontId="88" fillId="5" borderId="23" xfId="0" applyFont="1" applyFill="1" applyBorder="1" applyAlignment="1" applyProtection="1">
      <alignment vertical="center" wrapText="1"/>
    </xf>
    <xf numFmtId="0" fontId="76" fillId="0" borderId="45" xfId="0" applyFont="1" applyFill="1" applyBorder="1" applyAlignment="1" applyProtection="1">
      <alignment horizontal="center" vertical="center" wrapText="1"/>
      <protection locked="0"/>
    </xf>
    <xf numFmtId="0" fontId="89" fillId="0" borderId="60" xfId="0" applyNumberFormat="1" applyFont="1" applyFill="1" applyBorder="1" applyAlignment="1" applyProtection="1">
      <alignment horizontal="center" vertical="center" wrapText="1"/>
      <protection locked="0"/>
    </xf>
    <xf numFmtId="0" fontId="89" fillId="5" borderId="46" xfId="0" applyNumberFormat="1" applyFont="1" applyFill="1" applyBorder="1" applyAlignment="1" applyProtection="1">
      <alignment horizontal="center" vertical="center" wrapText="1"/>
    </xf>
    <xf numFmtId="0" fontId="76" fillId="5" borderId="41" xfId="0" applyFont="1" applyFill="1" applyBorder="1" applyAlignment="1" applyProtection="1">
      <alignment horizontal="center" vertical="center" wrapText="1"/>
    </xf>
    <xf numFmtId="49" fontId="89" fillId="5" borderId="58" xfId="0" applyNumberFormat="1" applyFont="1" applyFill="1" applyBorder="1" applyAlignment="1" applyProtection="1">
      <alignment horizontal="center" vertical="center" wrapText="1"/>
    </xf>
    <xf numFmtId="0" fontId="89" fillId="5" borderId="41" xfId="0" applyNumberFormat="1" applyFont="1" applyFill="1" applyBorder="1" applyAlignment="1" applyProtection="1">
      <alignment horizontal="center" vertical="center" wrapText="1"/>
    </xf>
    <xf numFmtId="49" fontId="89" fillId="0" borderId="58" xfId="0" applyNumberFormat="1" applyFont="1" applyFill="1" applyBorder="1" applyAlignment="1" applyProtection="1">
      <alignment horizontal="center" vertical="center" wrapText="1"/>
      <protection locked="0"/>
    </xf>
    <xf numFmtId="0" fontId="89" fillId="5" borderId="40" xfId="0" applyNumberFormat="1" applyFont="1" applyFill="1" applyBorder="1" applyAlignment="1" applyProtection="1">
      <alignment horizontal="center" vertical="center" wrapText="1"/>
    </xf>
    <xf numFmtId="49" fontId="89" fillId="0" borderId="53" xfId="0" applyNumberFormat="1" applyFont="1" applyFill="1" applyBorder="1" applyAlignment="1" applyProtection="1">
      <alignment horizontal="center" vertical="center" wrapText="1"/>
      <protection locked="0"/>
    </xf>
    <xf numFmtId="0" fontId="89" fillId="5" borderId="65" xfId="0" applyFont="1" applyFill="1" applyBorder="1" applyAlignment="1" applyProtection="1">
      <alignment horizontal="center" vertical="center"/>
    </xf>
    <xf numFmtId="0" fontId="89" fillId="2" borderId="20" xfId="0" applyNumberFormat="1" applyFont="1" applyFill="1" applyBorder="1" applyAlignment="1" applyProtection="1">
      <alignment horizontal="center" vertical="center" wrapText="1"/>
      <protection locked="0"/>
    </xf>
    <xf numFmtId="0" fontId="89" fillId="5" borderId="51" xfId="0" applyNumberFormat="1" applyFont="1" applyFill="1" applyBorder="1" applyAlignment="1" applyProtection="1">
      <alignment horizontal="center" vertical="center" wrapText="1"/>
    </xf>
    <xf numFmtId="49" fontId="89" fillId="2" borderId="20" xfId="0" applyNumberFormat="1" applyFont="1" applyFill="1" applyBorder="1" applyAlignment="1" applyProtection="1">
      <alignment horizontal="center" vertical="center" wrapText="1"/>
      <protection locked="0"/>
    </xf>
    <xf numFmtId="0" fontId="89" fillId="5" borderId="17" xfId="0" applyNumberFormat="1" applyFont="1" applyFill="1" applyBorder="1" applyAlignment="1" applyProtection="1">
      <alignment horizontal="center" vertical="center" wrapText="1"/>
    </xf>
    <xf numFmtId="49" fontId="89" fillId="2" borderId="50" xfId="0" applyNumberFormat="1" applyFont="1" applyFill="1" applyBorder="1" applyAlignment="1" applyProtection="1">
      <alignment horizontal="center" vertical="center" wrapText="1"/>
      <protection locked="0"/>
    </xf>
    <xf numFmtId="0" fontId="89" fillId="5" borderId="52" xfId="0" applyNumberFormat="1"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wrapText="1"/>
    </xf>
    <xf numFmtId="49" fontId="89" fillId="5" borderId="32" xfId="0" applyNumberFormat="1" applyFont="1" applyFill="1" applyBorder="1" applyAlignment="1" applyProtection="1">
      <alignment horizontal="center" vertical="center" wrapText="1"/>
    </xf>
    <xf numFmtId="49" fontId="89" fillId="0" borderId="18" xfId="0" applyNumberFormat="1" applyFont="1" applyFill="1" applyBorder="1" applyAlignment="1" applyProtection="1">
      <alignment horizontal="center" vertical="center" wrapText="1"/>
      <protection locked="0"/>
    </xf>
    <xf numFmtId="0" fontId="89" fillId="5" borderId="13" xfId="0" applyNumberFormat="1" applyFont="1" applyFill="1" applyBorder="1" applyAlignment="1" applyProtection="1">
      <alignment horizontal="center" vertical="center" wrapText="1"/>
    </xf>
    <xf numFmtId="49" fontId="89" fillId="0" borderId="24" xfId="0" applyNumberFormat="1" applyFont="1" applyFill="1" applyBorder="1" applyAlignment="1" applyProtection="1">
      <alignment horizontal="center" vertical="center" wrapText="1"/>
      <protection locked="0"/>
    </xf>
    <xf numFmtId="0" fontId="89" fillId="5" borderId="25" xfId="0" applyNumberFormat="1" applyFont="1" applyFill="1" applyBorder="1" applyAlignment="1" applyProtection="1">
      <alignment horizontal="center" vertical="center" wrapText="1"/>
    </xf>
    <xf numFmtId="0" fontId="76" fillId="5" borderId="51" xfId="0" applyFont="1" applyFill="1" applyBorder="1" applyAlignment="1" applyProtection="1">
      <alignment horizontal="center" vertical="center" wrapText="1"/>
    </xf>
    <xf numFmtId="0" fontId="89" fillId="2" borderId="18" xfId="0" applyNumberFormat="1" applyFont="1" applyFill="1" applyBorder="1" applyAlignment="1" applyProtection="1">
      <alignment horizontal="center" vertical="center" wrapText="1"/>
      <protection locked="0"/>
    </xf>
    <xf numFmtId="49" fontId="89" fillId="2" borderId="18" xfId="0" applyNumberFormat="1" applyFont="1" applyFill="1" applyBorder="1" applyAlignment="1" applyProtection="1">
      <alignment horizontal="center" vertical="center" wrapText="1"/>
      <protection locked="0"/>
    </xf>
    <xf numFmtId="49" fontId="89" fillId="2" borderId="24" xfId="0" applyNumberFormat="1" applyFont="1" applyFill="1" applyBorder="1" applyAlignment="1" applyProtection="1">
      <alignment horizontal="center" vertical="center" wrapText="1"/>
      <protection locked="0"/>
    </xf>
    <xf numFmtId="49" fontId="89" fillId="0" borderId="32" xfId="0" applyNumberFormat="1" applyFont="1" applyFill="1" applyBorder="1" applyAlignment="1" applyProtection="1">
      <alignment horizontal="center" vertical="center" wrapText="1"/>
      <protection locked="0"/>
    </xf>
    <xf numFmtId="0" fontId="89" fillId="5" borderId="4" xfId="0" applyNumberFormat="1" applyFont="1" applyFill="1" applyBorder="1" applyAlignment="1" applyProtection="1">
      <alignment horizontal="center" vertical="center" wrapText="1"/>
    </xf>
    <xf numFmtId="49" fontId="89" fillId="0" borderId="22" xfId="0" applyNumberFormat="1" applyFont="1" applyFill="1" applyBorder="1" applyAlignment="1" applyProtection="1">
      <alignment horizontal="center" vertical="center" wrapText="1"/>
      <protection locked="0"/>
    </xf>
    <xf numFmtId="0" fontId="89" fillId="5" borderId="32" xfId="0" applyNumberFormat="1" applyFont="1" applyFill="1" applyBorder="1" applyAlignment="1" applyProtection="1">
      <alignment horizontal="center" vertical="center" wrapText="1"/>
    </xf>
    <xf numFmtId="0" fontId="89" fillId="2" borderId="11" xfId="0" applyNumberFormat="1" applyFont="1" applyFill="1" applyBorder="1" applyAlignment="1" applyProtection="1">
      <alignment horizontal="center" vertical="center" wrapText="1"/>
      <protection locked="0"/>
    </xf>
    <xf numFmtId="0" fontId="89" fillId="5" borderId="5" xfId="0" applyNumberFormat="1" applyFont="1" applyFill="1" applyBorder="1" applyAlignment="1" applyProtection="1">
      <alignment horizontal="center" vertical="center" wrapText="1"/>
    </xf>
    <xf numFmtId="0" fontId="89" fillId="2" borderId="50"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wrapText="1"/>
    </xf>
    <xf numFmtId="0" fontId="76" fillId="5" borderId="52" xfId="0" applyFont="1" applyFill="1" applyBorder="1" applyAlignment="1" applyProtection="1">
      <alignment horizontal="center" vertical="center" wrapText="1"/>
    </xf>
    <xf numFmtId="0" fontId="76" fillId="2" borderId="19" xfId="0" applyNumberFormat="1" applyFont="1" applyFill="1" applyBorder="1" applyAlignment="1" applyProtection="1">
      <alignment horizontal="center" vertical="center" wrapText="1"/>
      <protection locked="0"/>
    </xf>
    <xf numFmtId="0" fontId="89" fillId="2" borderId="8" xfId="0" applyNumberFormat="1" applyFont="1" applyFill="1" applyBorder="1" applyAlignment="1" applyProtection="1">
      <alignment horizontal="center" vertical="center" wrapText="1"/>
      <protection locked="0"/>
    </xf>
    <xf numFmtId="0" fontId="111" fillId="5" borderId="9" xfId="0" applyNumberFormat="1" applyFont="1" applyFill="1" applyBorder="1" applyAlignment="1" applyProtection="1">
      <alignment horizontal="center" vertical="center" wrapText="1"/>
    </xf>
    <xf numFmtId="0" fontId="76" fillId="5" borderId="12" xfId="0" applyFont="1" applyFill="1" applyBorder="1" applyAlignment="1" applyProtection="1">
      <alignment horizontal="center" vertical="center" wrapText="1"/>
    </xf>
    <xf numFmtId="0" fontId="89" fillId="2" borderId="64" xfId="0" applyNumberFormat="1" applyFont="1" applyFill="1" applyBorder="1" applyAlignment="1" applyProtection="1">
      <alignment horizontal="center" vertical="center" wrapText="1"/>
      <protection locked="0"/>
    </xf>
    <xf numFmtId="0" fontId="111" fillId="0" borderId="9" xfId="0" applyNumberFormat="1" applyFont="1" applyFill="1" applyBorder="1" applyAlignment="1" applyProtection="1">
      <alignment horizontal="center" vertical="center" wrapText="1"/>
      <protection locked="0"/>
    </xf>
    <xf numFmtId="0" fontId="76" fillId="0" borderId="12" xfId="0" applyFont="1" applyFill="1" applyBorder="1" applyAlignment="1" applyProtection="1">
      <alignment horizontal="center" vertical="center" wrapText="1"/>
      <protection locked="0"/>
    </xf>
    <xf numFmtId="0" fontId="89" fillId="0" borderId="9" xfId="0" applyNumberFormat="1" applyFont="1" applyFill="1" applyBorder="1" applyAlignment="1" applyProtection="1">
      <alignment horizontal="center" vertical="center" wrapText="1"/>
      <protection locked="0"/>
    </xf>
    <xf numFmtId="0" fontId="89" fillId="5" borderId="31" xfId="0" applyFont="1" applyFill="1" applyBorder="1" applyAlignment="1" applyProtection="1">
      <alignment horizontal="center" vertical="center"/>
    </xf>
    <xf numFmtId="0" fontId="89" fillId="0" borderId="12" xfId="0" applyFont="1" applyFill="1" applyBorder="1" applyAlignment="1" applyProtection="1">
      <alignment horizontal="center" vertical="center"/>
      <protection locked="0"/>
    </xf>
    <xf numFmtId="0" fontId="105" fillId="5" borderId="54" xfId="0" applyFont="1" applyFill="1" applyBorder="1" applyAlignment="1" applyProtection="1">
      <alignment vertical="center" textRotation="255" wrapText="1"/>
    </xf>
    <xf numFmtId="0" fontId="85" fillId="0" borderId="46" xfId="0" applyFont="1" applyFill="1" applyBorder="1" applyAlignment="1" applyProtection="1">
      <alignment horizontal="center" vertical="center"/>
      <protection locked="0"/>
    </xf>
    <xf numFmtId="0" fontId="89" fillId="0" borderId="32" xfId="0" applyNumberFormat="1" applyFont="1" applyFill="1" applyBorder="1" applyAlignment="1" applyProtection="1">
      <alignment horizontal="center" vertical="center" wrapText="1"/>
      <protection locked="0"/>
    </xf>
    <xf numFmtId="0" fontId="89" fillId="0" borderId="10" xfId="0" applyNumberFormat="1" applyFont="1" applyFill="1" applyBorder="1" applyAlignment="1" applyProtection="1">
      <alignment horizontal="center" vertical="center" wrapText="1"/>
      <protection locked="0"/>
    </xf>
    <xf numFmtId="0" fontId="89" fillId="0" borderId="43" xfId="0" applyNumberFormat="1" applyFont="1" applyFill="1" applyBorder="1" applyAlignment="1" applyProtection="1">
      <alignment horizontal="center" vertical="center" wrapText="1"/>
      <protection locked="0"/>
    </xf>
    <xf numFmtId="0" fontId="88" fillId="5" borderId="24" xfId="0" applyFont="1" applyFill="1" applyBorder="1" applyAlignment="1" applyProtection="1">
      <alignment vertical="center" textRotation="255" wrapText="1"/>
    </xf>
    <xf numFmtId="0" fontId="76" fillId="5" borderId="17" xfId="0" applyFont="1" applyFill="1" applyBorder="1" applyAlignment="1" applyProtection="1">
      <alignment horizontal="center" vertical="center" wrapText="1"/>
    </xf>
    <xf numFmtId="0" fontId="89" fillId="0" borderId="1" xfId="0" applyNumberFormat="1" applyFont="1" applyFill="1" applyBorder="1" applyAlignment="1" applyProtection="1">
      <alignment horizontal="center" vertical="center" wrapText="1"/>
      <protection locked="0"/>
    </xf>
    <xf numFmtId="0" fontId="89" fillId="5" borderId="7" xfId="0" applyNumberFormat="1" applyFont="1" applyFill="1" applyBorder="1" applyAlignment="1" applyProtection="1">
      <alignment horizontal="center" vertical="center" wrapText="1"/>
    </xf>
    <xf numFmtId="0" fontId="89" fillId="0" borderId="6" xfId="0" applyNumberFormat="1" applyFont="1" applyFill="1" applyBorder="1" applyAlignment="1" applyProtection="1">
      <alignment horizontal="center" vertical="center" wrapText="1"/>
      <protection locked="0"/>
    </xf>
    <xf numFmtId="49" fontId="89" fillId="2" borderId="11"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9" fontId="76" fillId="2" borderId="64" xfId="0" applyNumberFormat="1" applyFont="1" applyFill="1" applyBorder="1" applyAlignment="1" applyProtection="1">
      <alignment horizontal="center" vertical="center" wrapText="1"/>
      <protection locked="0"/>
    </xf>
    <xf numFmtId="0" fontId="89" fillId="0" borderId="5" xfId="0" applyFont="1" applyFill="1" applyBorder="1" applyAlignment="1" applyProtection="1">
      <alignment horizontal="center" vertical="center"/>
      <protection locked="0"/>
    </xf>
    <xf numFmtId="0" fontId="105" fillId="5" borderId="24" xfId="0" applyFont="1" applyFill="1" applyBorder="1" applyAlignment="1" applyProtection="1">
      <alignment vertical="center" textRotation="255" wrapText="1"/>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112" fillId="5" borderId="9" xfId="0" applyNumberFormat="1" applyFont="1" applyFill="1" applyBorder="1" applyAlignment="1" applyProtection="1">
      <alignment horizontal="center" vertical="center" wrapText="1"/>
    </xf>
    <xf numFmtId="49" fontId="88" fillId="5" borderId="59" xfId="0" applyNumberFormat="1" applyFont="1" applyFill="1" applyBorder="1" applyAlignment="1" applyProtection="1">
      <alignment vertical="center"/>
    </xf>
    <xf numFmtId="49" fontId="88" fillId="2" borderId="7" xfId="0" applyNumberFormat="1" applyFont="1" applyFill="1" applyBorder="1" applyAlignment="1" applyProtection="1">
      <alignment vertical="center"/>
      <protection locked="0"/>
    </xf>
    <xf numFmtId="0" fontId="88" fillId="5" borderId="30" xfId="0" applyFont="1" applyFill="1" applyBorder="1" applyAlignment="1" applyProtection="1">
      <alignment horizontal="right" vertical="center" wrapText="1"/>
    </xf>
    <xf numFmtId="0" fontId="88" fillId="5" borderId="57" xfId="0" applyFont="1" applyFill="1" applyBorder="1" applyAlignment="1" applyProtection="1">
      <alignment vertical="center" wrapText="1"/>
    </xf>
    <xf numFmtId="0" fontId="113" fillId="3" borderId="30" xfId="0" applyFont="1" applyFill="1" applyBorder="1" applyAlignment="1" applyProtection="1">
      <alignment vertical="center" wrapText="1"/>
      <protection locked="0"/>
    </xf>
    <xf numFmtId="0" fontId="113" fillId="5" borderId="30" xfId="0" applyFont="1" applyFill="1" applyBorder="1" applyAlignment="1" applyProtection="1">
      <alignment vertical="center" wrapText="1"/>
    </xf>
    <xf numFmtId="0" fontId="113" fillId="3" borderId="59" xfId="0" applyFont="1" applyFill="1" applyBorder="1" applyAlignment="1" applyProtection="1">
      <alignment vertical="center" wrapText="1"/>
      <protection locked="0"/>
    </xf>
    <xf numFmtId="0" fontId="113" fillId="5" borderId="57" xfId="0" applyFont="1" applyFill="1" applyBorder="1" applyAlignment="1" applyProtection="1">
      <alignment vertical="center" wrapText="1"/>
    </xf>
    <xf numFmtId="49" fontId="88" fillId="5" borderId="60" xfId="0" applyNumberFormat="1" applyFont="1" applyFill="1" applyBorder="1" applyAlignment="1" applyProtection="1">
      <alignment vertical="center"/>
    </xf>
    <xf numFmtId="49" fontId="88" fillId="5" borderId="48" xfId="0" applyNumberFormat="1" applyFont="1" applyFill="1" applyBorder="1" applyAlignment="1" applyProtection="1">
      <alignment vertical="center"/>
    </xf>
    <xf numFmtId="185" fontId="88" fillId="5" borderId="56" xfId="0" applyNumberFormat="1" applyFont="1" applyFill="1" applyBorder="1" applyAlignment="1" applyProtection="1">
      <alignment vertical="center" wrapText="1"/>
    </xf>
    <xf numFmtId="0" fontId="88" fillId="5" borderId="48" xfId="0" applyFont="1" applyFill="1" applyBorder="1" applyAlignment="1" applyProtection="1">
      <alignment vertical="center" wrapText="1"/>
    </xf>
    <xf numFmtId="0" fontId="88" fillId="5" borderId="56" xfId="0" applyFont="1" applyFill="1" applyBorder="1" applyAlignment="1" applyProtection="1">
      <alignment vertical="center" wrapText="1"/>
    </xf>
    <xf numFmtId="185" fontId="88" fillId="5" borderId="60" xfId="0" applyNumberFormat="1" applyFont="1" applyFill="1" applyBorder="1" applyAlignment="1" applyProtection="1">
      <alignment vertical="center" wrapText="1"/>
    </xf>
    <xf numFmtId="49" fontId="88" fillId="0" borderId="54" xfId="0" applyNumberFormat="1" applyFont="1" applyFill="1" applyBorder="1" applyAlignment="1" applyProtection="1">
      <alignment vertical="center"/>
      <protection locked="0"/>
    </xf>
    <xf numFmtId="49" fontId="88" fillId="0" borderId="66" xfId="0" applyNumberFormat="1" applyFont="1" applyFill="1" applyBorder="1" applyAlignment="1" applyProtection="1">
      <alignment vertical="center"/>
      <protection locked="0"/>
    </xf>
    <xf numFmtId="185" fontId="88" fillId="5" borderId="61" xfId="0" applyNumberFormat="1" applyFont="1" applyFill="1" applyBorder="1" applyAlignment="1" applyProtection="1">
      <alignment vertical="center" wrapText="1"/>
    </xf>
    <xf numFmtId="0" fontId="88" fillId="5" borderId="2" xfId="0" applyFont="1" applyFill="1" applyBorder="1" applyAlignment="1" applyProtection="1">
      <alignment horizontal="left" vertical="center"/>
    </xf>
    <xf numFmtId="0" fontId="88" fillId="5" borderId="2" xfId="0" applyFont="1" applyFill="1" applyBorder="1" applyAlignment="1" applyProtection="1">
      <alignment horizontal="center" vertical="center" wrapText="1"/>
    </xf>
    <xf numFmtId="182" fontId="89" fillId="5" borderId="5" xfId="0" applyNumberFormat="1" applyFont="1" applyFill="1" applyBorder="1" applyAlignment="1" applyProtection="1">
      <alignment horizontal="center" vertical="center"/>
    </xf>
    <xf numFmtId="182" fontId="89" fillId="5" borderId="9" xfId="0" applyNumberFormat="1" applyFont="1" applyFill="1" applyBorder="1" applyAlignment="1" applyProtection="1">
      <alignment vertical="center"/>
    </xf>
    <xf numFmtId="0" fontId="88" fillId="5" borderId="9" xfId="0" applyFont="1" applyFill="1" applyBorder="1" applyAlignment="1" applyProtection="1">
      <alignment horizontal="center" vertical="center" wrapText="1"/>
    </xf>
    <xf numFmtId="14" fontId="89" fillId="5" borderId="1" xfId="0" applyNumberFormat="1" applyFont="1" applyFill="1" applyBorder="1" applyAlignment="1" applyProtection="1">
      <alignment horizontal="left" vertical="center"/>
    </xf>
    <xf numFmtId="177" fontId="89" fillId="5" borderId="6" xfId="0" applyNumberFormat="1" applyFont="1" applyFill="1" applyBorder="1" applyAlignment="1" applyProtection="1">
      <alignment horizontal="center" vertical="center"/>
    </xf>
    <xf numFmtId="0" fontId="89" fillId="5" borderId="6" xfId="0" applyFont="1" applyFill="1" applyBorder="1" applyAlignment="1" applyProtection="1">
      <alignment horizontal="center" vertical="center"/>
    </xf>
    <xf numFmtId="0" fontId="89" fillId="5" borderId="7" xfId="0" applyFont="1" applyFill="1" applyBorder="1" applyAlignment="1" applyProtection="1">
      <alignment horizontal="center" vertical="center"/>
    </xf>
    <xf numFmtId="0" fontId="91" fillId="5" borderId="11" xfId="0" applyFont="1" applyFill="1" applyBorder="1" applyAlignment="1" applyProtection="1"/>
    <xf numFmtId="185" fontId="91" fillId="5" borderId="2" xfId="2" applyNumberFormat="1" applyFont="1" applyFill="1" applyBorder="1" applyAlignment="1" applyProtection="1">
      <alignment horizontal="center"/>
    </xf>
    <xf numFmtId="0" fontId="91" fillId="5" borderId="2" xfId="0" applyFont="1" applyFill="1" applyBorder="1" applyAlignment="1" applyProtection="1">
      <alignment horizontal="center"/>
    </xf>
    <xf numFmtId="178" fontId="91" fillId="5" borderId="12" xfId="2" applyNumberFormat="1" applyFont="1" applyFill="1" applyBorder="1" applyAlignment="1" applyProtection="1">
      <alignment horizontal="center"/>
    </xf>
    <xf numFmtId="0" fontId="91" fillId="5" borderId="11" xfId="2" applyFont="1" applyFill="1" applyBorder="1" applyAlignment="1" applyProtection="1"/>
    <xf numFmtId="0" fontId="91" fillId="5" borderId="2" xfId="2" applyFont="1" applyFill="1" applyBorder="1" applyAlignment="1" applyProtection="1">
      <alignment horizontal="center"/>
    </xf>
    <xf numFmtId="180" fontId="91" fillId="0" borderId="2" xfId="2" applyNumberFormat="1" applyFont="1" applyFill="1" applyBorder="1" applyAlignment="1" applyProtection="1">
      <alignment horizontal="center"/>
      <protection locked="0"/>
    </xf>
    <xf numFmtId="0" fontId="81" fillId="5" borderId="12" xfId="0" applyFont="1" applyFill="1" applyBorder="1" applyAlignment="1" applyProtection="1">
      <alignment horizontal="center" vertical="center"/>
    </xf>
    <xf numFmtId="180" fontId="91" fillId="5" borderId="2" xfId="2" applyNumberFormat="1" applyFont="1" applyFill="1" applyBorder="1" applyAlignment="1" applyProtection="1">
      <alignment horizontal="center"/>
    </xf>
    <xf numFmtId="0" fontId="100" fillId="5" borderId="43" xfId="2" applyFont="1" applyFill="1" applyBorder="1" applyAlignment="1" applyProtection="1"/>
    <xf numFmtId="0" fontId="91" fillId="5" borderId="44" xfId="0" applyFont="1" applyFill="1" applyBorder="1" applyAlignment="1" applyProtection="1">
      <alignment horizontal="center"/>
    </xf>
    <xf numFmtId="178" fontId="100" fillId="5" borderId="46" xfId="0" applyNumberFormat="1" applyFont="1" applyFill="1" applyBorder="1" applyAlignment="1" applyProtection="1">
      <alignment horizontal="center"/>
    </xf>
    <xf numFmtId="0" fontId="80" fillId="5" borderId="26" xfId="0" applyNumberFormat="1" applyFont="1" applyFill="1" applyBorder="1" applyAlignment="1" applyProtection="1">
      <alignment vertical="center" wrapText="1"/>
    </xf>
    <xf numFmtId="0" fontId="80" fillId="5" borderId="58" xfId="0" applyNumberFormat="1" applyFont="1" applyFill="1" applyBorder="1" applyAlignment="1" applyProtection="1">
      <alignment vertical="center" wrapText="1"/>
    </xf>
    <xf numFmtId="0" fontId="80" fillId="5" borderId="31" xfId="0" applyNumberFormat="1" applyFont="1" applyFill="1" applyBorder="1" applyAlignment="1" applyProtection="1">
      <alignment vertical="center" wrapText="1"/>
    </xf>
    <xf numFmtId="0" fontId="80" fillId="5" borderId="18" xfId="0" applyNumberFormat="1" applyFont="1" applyFill="1" applyBorder="1" applyAlignment="1" applyProtection="1">
      <alignment vertical="center" wrapText="1"/>
    </xf>
    <xf numFmtId="0" fontId="76" fillId="5" borderId="32" xfId="0" applyNumberFormat="1" applyFont="1" applyFill="1" applyBorder="1" applyAlignment="1" applyProtection="1">
      <alignment horizontal="center" vertical="center" wrapText="1"/>
    </xf>
    <xf numFmtId="0" fontId="76" fillId="0" borderId="10"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76" fillId="0" borderId="25" xfId="0" applyNumberFormat="1" applyFont="1" applyFill="1" applyBorder="1" applyAlignment="1" applyProtection="1">
      <alignment horizontal="center" vertical="center" wrapText="1"/>
      <protection locked="0"/>
    </xf>
    <xf numFmtId="0" fontId="80" fillId="5" borderId="54" xfId="0" applyNumberFormat="1" applyFont="1" applyFill="1" applyBorder="1" applyAlignment="1" applyProtection="1">
      <alignment vertical="center"/>
    </xf>
    <xf numFmtId="0" fontId="80" fillId="5" borderId="67" xfId="0" applyNumberFormat="1" applyFont="1" applyFill="1" applyBorder="1" applyAlignment="1" applyProtection="1">
      <alignment vertical="center" wrapText="1"/>
    </xf>
    <xf numFmtId="0" fontId="76" fillId="0" borderId="67" xfId="0" applyNumberFormat="1" applyFont="1" applyFill="1" applyBorder="1" applyAlignment="1" applyProtection="1">
      <alignment horizontal="center" vertical="center" wrapText="1"/>
      <protection locked="0"/>
    </xf>
    <xf numFmtId="0" fontId="76" fillId="0" borderId="55" xfId="0" applyNumberFormat="1" applyFont="1" applyFill="1" applyBorder="1" applyAlignment="1" applyProtection="1">
      <alignment horizontal="center" vertical="center" wrapText="1"/>
      <protection locked="0"/>
    </xf>
    <xf numFmtId="0" fontId="76" fillId="0" borderId="68" xfId="0" applyNumberFormat="1" applyFont="1" applyFill="1" applyBorder="1" applyAlignment="1" applyProtection="1">
      <alignment horizontal="center" vertical="center" wrapText="1"/>
      <protection locked="0"/>
    </xf>
    <xf numFmtId="0" fontId="76" fillId="0" borderId="69"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vertical="center" wrapText="1"/>
    </xf>
    <xf numFmtId="0" fontId="76" fillId="5" borderId="20" xfId="0" applyNumberFormat="1" applyFont="1" applyFill="1" applyBorder="1" applyAlignment="1" applyProtection="1">
      <alignment horizontal="center" vertical="center" wrapText="1"/>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88" fillId="5" borderId="53" xfId="0" applyNumberFormat="1" applyFont="1" applyFill="1" applyBorder="1" applyAlignment="1" applyProtection="1">
      <alignment vertical="center" wrapText="1"/>
    </xf>
    <xf numFmtId="0" fontId="76" fillId="5" borderId="27" xfId="0" applyNumberFormat="1" applyFont="1" applyFill="1" applyBorder="1" applyAlignment="1" applyProtection="1">
      <alignment horizontal="center" vertical="center" wrapText="1"/>
    </xf>
    <xf numFmtId="0" fontId="110" fillId="0" borderId="6" xfId="0" applyNumberFormat="1" applyFont="1" applyFill="1" applyBorder="1" applyAlignment="1" applyProtection="1">
      <alignment horizontal="center" vertical="center" wrapText="1"/>
      <protection locked="0"/>
    </xf>
    <xf numFmtId="0" fontId="110" fillId="0" borderId="6" xfId="0" applyNumberFormat="1" applyFont="1" applyFill="1" applyBorder="1" applyAlignment="1" applyProtection="1">
      <alignment horizontal="left" vertical="center" wrapText="1"/>
      <protection locked="0"/>
    </xf>
    <xf numFmtId="0" fontId="110" fillId="0" borderId="7" xfId="0" applyNumberFormat="1" applyFont="1" applyFill="1" applyBorder="1" applyAlignment="1" applyProtection="1">
      <alignment horizontal="center" vertical="center" wrapText="1"/>
      <protection locked="0"/>
    </xf>
    <xf numFmtId="0" fontId="88" fillId="5" borderId="24" xfId="0" applyNumberFormat="1" applyFont="1" applyFill="1" applyBorder="1" applyAlignment="1" applyProtection="1">
      <alignment vertical="center" wrapText="1"/>
    </xf>
    <xf numFmtId="0" fontId="85" fillId="5" borderId="70" xfId="0" applyNumberFormat="1" applyFont="1" applyFill="1" applyBorder="1" applyAlignment="1" applyProtection="1">
      <alignment horizontal="center" vertical="center" wrapText="1"/>
    </xf>
    <xf numFmtId="0" fontId="89" fillId="0" borderId="71" xfId="0" applyNumberFormat="1" applyFont="1" applyFill="1" applyBorder="1" applyAlignment="1" applyProtection="1">
      <alignment horizontal="center" vertical="center" wrapText="1"/>
      <protection locked="0"/>
    </xf>
    <xf numFmtId="0" fontId="89" fillId="0" borderId="72" xfId="0" applyNumberFormat="1" applyFont="1" applyFill="1" applyBorder="1" applyAlignment="1" applyProtection="1">
      <alignment horizontal="center" vertical="center" wrapText="1"/>
      <protection locked="0"/>
    </xf>
    <xf numFmtId="0" fontId="76" fillId="5" borderId="73" xfId="0" applyNumberFormat="1" applyFont="1" applyFill="1" applyBorder="1" applyAlignment="1" applyProtection="1">
      <alignment horizontal="center" vertical="center" wrapText="1"/>
    </xf>
    <xf numFmtId="0" fontId="89" fillId="5" borderId="74" xfId="0" applyNumberFormat="1" applyFont="1" applyFill="1" applyBorder="1" applyAlignment="1" applyProtection="1">
      <alignment horizontal="center" vertical="center" wrapText="1"/>
    </xf>
    <xf numFmtId="0" fontId="110" fillId="5" borderId="74" xfId="0" applyNumberFormat="1" applyFont="1" applyFill="1" applyBorder="1" applyAlignment="1" applyProtection="1">
      <alignment horizontal="center" vertical="center" wrapText="1"/>
    </xf>
    <xf numFmtId="0" fontId="110" fillId="5" borderId="74" xfId="0" applyNumberFormat="1" applyFont="1" applyFill="1" applyBorder="1" applyAlignment="1" applyProtection="1">
      <alignment horizontal="left" vertical="center" wrapText="1"/>
    </xf>
    <xf numFmtId="0" fontId="110" fillId="5" borderId="75" xfId="0" applyNumberFormat="1" applyFont="1" applyFill="1" applyBorder="1" applyAlignment="1" applyProtection="1">
      <alignment horizontal="center" vertical="center" wrapText="1"/>
    </xf>
    <xf numFmtId="0" fontId="76" fillId="5" borderId="70" xfId="0" applyNumberFormat="1" applyFont="1" applyFill="1" applyBorder="1" applyAlignment="1" applyProtection="1">
      <alignment horizontal="center" vertical="center" wrapText="1"/>
    </xf>
    <xf numFmtId="0" fontId="89" fillId="5" borderId="71" xfId="0" applyNumberFormat="1" applyFont="1" applyFill="1" applyBorder="1" applyAlignment="1" applyProtection="1">
      <alignment horizontal="center" vertical="center" wrapText="1"/>
    </xf>
    <xf numFmtId="0" fontId="89" fillId="5" borderId="72"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89" fillId="5" borderId="21" xfId="0" applyNumberFormat="1" applyFont="1" applyFill="1" applyBorder="1" applyAlignment="1" applyProtection="1">
      <alignment horizontal="center" vertical="center" wrapText="1"/>
    </xf>
    <xf numFmtId="0" fontId="85" fillId="5" borderId="3" xfId="0" applyNumberFormat="1" applyFont="1" applyFill="1" applyBorder="1" applyAlignment="1" applyProtection="1">
      <alignment horizontal="center" vertical="center" wrapText="1"/>
    </xf>
    <xf numFmtId="0" fontId="110" fillId="0" borderId="2" xfId="0" applyNumberFormat="1" applyFont="1" applyFill="1" applyBorder="1" applyAlignment="1" applyProtection="1">
      <alignment horizontal="center" vertical="center" wrapText="1"/>
      <protection locked="0"/>
    </xf>
    <xf numFmtId="0" fontId="110" fillId="0" borderId="2" xfId="0" applyNumberFormat="1" applyFont="1" applyFill="1" applyBorder="1" applyAlignment="1" applyProtection="1">
      <alignment horizontal="left" vertical="center" wrapText="1"/>
      <protection locked="0"/>
    </xf>
    <xf numFmtId="0" fontId="110" fillId="0" borderId="12" xfId="0" applyNumberFormat="1" applyFont="1" applyFill="1" applyBorder="1" applyAlignment="1" applyProtection="1">
      <alignment horizontal="center" vertical="center" wrapText="1"/>
      <protection locked="0"/>
    </xf>
    <xf numFmtId="0" fontId="105" fillId="5" borderId="24" xfId="0" applyNumberFormat="1" applyFont="1" applyFill="1" applyBorder="1" applyAlignment="1" applyProtection="1">
      <alignment vertical="center" wrapText="1"/>
    </xf>
    <xf numFmtId="0" fontId="76" fillId="0" borderId="74" xfId="0" applyNumberFormat="1" applyFont="1" applyFill="1" applyBorder="1" applyAlignment="1" applyProtection="1">
      <alignment horizontal="center" vertical="center" wrapText="1"/>
      <protection locked="0"/>
    </xf>
    <xf numFmtId="0" fontId="85" fillId="0" borderId="74" xfId="0" applyNumberFormat="1" applyFont="1" applyFill="1" applyBorder="1" applyAlignment="1" applyProtection="1">
      <alignment horizontal="center" vertical="center" wrapText="1"/>
      <protection locked="0"/>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left" vertical="center" wrapText="1"/>
      <protection locked="0"/>
    </xf>
    <xf numFmtId="0" fontId="85" fillId="0" borderId="51" xfId="0" applyNumberFormat="1" applyFont="1" applyFill="1" applyBorder="1" applyAlignment="1" applyProtection="1">
      <alignment horizontal="center" vertical="center" wrapText="1"/>
      <protection locked="0"/>
    </xf>
    <xf numFmtId="0" fontId="105" fillId="5" borderId="23" xfId="0" applyNumberFormat="1" applyFont="1" applyFill="1" applyBorder="1" applyAlignment="1" applyProtection="1">
      <alignment vertical="center" wrapText="1"/>
    </xf>
    <xf numFmtId="0" fontId="76" fillId="5" borderId="55" xfId="0" applyNumberFormat="1" applyFont="1" applyFill="1" applyBorder="1" applyAlignment="1" applyProtection="1">
      <alignment horizontal="center" vertical="center" wrapText="1"/>
    </xf>
    <xf numFmtId="0" fontId="76" fillId="0" borderId="44"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76" fillId="5" borderId="6" xfId="0" applyNumberFormat="1" applyFont="1" applyFill="1" applyBorder="1" applyAlignment="1" applyProtection="1">
      <alignment horizontal="center" vertical="center" wrapText="1"/>
    </xf>
    <xf numFmtId="0" fontId="89" fillId="5" borderId="6" xfId="0" applyNumberFormat="1" applyFont="1" applyFill="1" applyBorder="1" applyAlignment="1" applyProtection="1">
      <alignment horizontal="center" vertical="center" wrapText="1"/>
    </xf>
    <xf numFmtId="0" fontId="110" fillId="5" borderId="6" xfId="0" applyNumberFormat="1" applyFont="1" applyFill="1" applyBorder="1" applyAlignment="1" applyProtection="1">
      <alignment horizontal="center" vertical="center" wrapText="1"/>
    </xf>
    <xf numFmtId="0" fontId="110" fillId="5" borderId="6" xfId="0" applyNumberFormat="1" applyFont="1" applyFill="1" applyBorder="1" applyAlignment="1" applyProtection="1">
      <alignment horizontal="left" vertical="center" wrapText="1"/>
    </xf>
    <xf numFmtId="0" fontId="110" fillId="5" borderId="7"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80" fillId="5" borderId="24" xfId="0" applyNumberFormat="1" applyFont="1" applyFill="1" applyBorder="1" applyAlignment="1" applyProtection="1">
      <alignment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left" vertical="center" wrapText="1"/>
    </xf>
    <xf numFmtId="0" fontId="85" fillId="5" borderId="75"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89" fillId="0" borderId="74" xfId="0" applyNumberFormat="1" applyFont="1" applyFill="1" applyBorder="1" applyAlignment="1" applyProtection="1">
      <alignment horizontal="center" vertical="center" wrapText="1"/>
      <protection locked="0"/>
    </xf>
    <xf numFmtId="0" fontId="110" fillId="0" borderId="74" xfId="0" applyNumberFormat="1" applyFont="1" applyFill="1" applyBorder="1" applyAlignment="1" applyProtection="1">
      <alignment horizontal="center" vertical="center" wrapText="1"/>
      <protection locked="0"/>
    </xf>
    <xf numFmtId="0" fontId="110" fillId="0" borderId="74" xfId="0" applyNumberFormat="1" applyFont="1" applyFill="1" applyBorder="1" applyAlignment="1" applyProtection="1">
      <alignment horizontal="left" vertical="center" wrapText="1"/>
      <protection locked="0"/>
    </xf>
    <xf numFmtId="0" fontId="110" fillId="0" borderId="75" xfId="0" applyNumberFormat="1" applyFont="1" applyFill="1" applyBorder="1" applyAlignment="1" applyProtection="1">
      <alignment horizontal="center" vertical="center" wrapText="1"/>
      <protection locked="0"/>
    </xf>
    <xf numFmtId="0" fontId="89" fillId="0" borderId="21" xfId="0" applyNumberFormat="1" applyFont="1" applyFill="1" applyBorder="1" applyAlignment="1" applyProtection="1">
      <alignment horizontal="center" vertical="center" wrapText="1"/>
      <protection locked="0"/>
    </xf>
    <xf numFmtId="0" fontId="110" fillId="0" borderId="21" xfId="0" applyNumberFormat="1" applyFont="1" applyFill="1" applyBorder="1" applyAlignment="1" applyProtection="1">
      <alignment horizontal="center" vertical="center" wrapText="1"/>
      <protection locked="0"/>
    </xf>
    <xf numFmtId="0" fontId="110" fillId="0" borderId="21" xfId="0" applyNumberFormat="1" applyFont="1" applyFill="1" applyBorder="1" applyAlignment="1" applyProtection="1">
      <alignment horizontal="left" vertical="center" wrapText="1"/>
      <protection locked="0"/>
    </xf>
    <xf numFmtId="0" fontId="110" fillId="0" borderId="51" xfId="0" applyNumberFormat="1" applyFont="1" applyFill="1" applyBorder="1" applyAlignment="1" applyProtection="1">
      <alignment horizontal="center" vertical="center" wrapText="1"/>
      <protection locked="0"/>
    </xf>
    <xf numFmtId="0" fontId="89" fillId="0" borderId="44" xfId="0" applyNumberFormat="1" applyFont="1" applyFill="1" applyBorder="1" applyAlignment="1" applyProtection="1">
      <alignment horizontal="center" vertical="center" wrapText="1"/>
      <protection locked="0"/>
    </xf>
    <xf numFmtId="0" fontId="89" fillId="0" borderId="46" xfId="0" applyNumberFormat="1" applyFont="1" applyFill="1" applyBorder="1" applyAlignment="1" applyProtection="1">
      <alignment horizontal="center" vertical="center" wrapText="1"/>
      <protection locked="0"/>
    </xf>
    <xf numFmtId="0" fontId="105" fillId="5" borderId="24" xfId="0" applyNumberFormat="1" applyFont="1" applyFill="1" applyBorder="1" applyAlignment="1" applyProtection="1">
      <alignment vertical="center" textRotation="255" wrapText="1"/>
    </xf>
    <xf numFmtId="0" fontId="76" fillId="5" borderId="13"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85" fillId="0" borderId="2" xfId="0" applyNumberFormat="1" applyFont="1" applyFill="1" applyBorder="1" applyAlignment="1" applyProtection="1">
      <alignment horizontal="center" vertical="center" wrapText="1"/>
      <protection locked="0"/>
    </xf>
    <xf numFmtId="0" fontId="85" fillId="0" borderId="2" xfId="0" applyNumberFormat="1" applyFont="1" applyFill="1" applyBorder="1" applyAlignment="1" applyProtection="1">
      <alignment horizontal="left" vertical="center" wrapText="1"/>
      <protection locked="0"/>
    </xf>
    <xf numFmtId="0" fontId="85" fillId="0" borderId="12" xfId="0" applyNumberFormat="1" applyFont="1" applyFill="1" applyBorder="1" applyAlignment="1" applyProtection="1">
      <alignment horizontal="center" vertical="center" wrapText="1"/>
      <protection locked="0"/>
    </xf>
    <xf numFmtId="0" fontId="89" fillId="0" borderId="25" xfId="0" applyNumberFormat="1" applyFont="1" applyFill="1" applyBorder="1" applyAlignment="1" applyProtection="1">
      <alignment horizontal="center" vertical="center" wrapText="1"/>
      <protection locked="0"/>
    </xf>
    <xf numFmtId="0" fontId="88" fillId="5" borderId="24" xfId="0" applyNumberFormat="1" applyFont="1" applyFill="1" applyBorder="1" applyAlignment="1" applyProtection="1">
      <alignment vertical="center" textRotation="255" wrapText="1"/>
    </xf>
    <xf numFmtId="0" fontId="85" fillId="5" borderId="55" xfId="0" applyNumberFormat="1" applyFont="1" applyFill="1" applyBorder="1" applyAlignment="1" applyProtection="1">
      <alignment horizontal="center" vertical="center" wrapText="1"/>
    </xf>
    <xf numFmtId="0" fontId="116" fillId="5" borderId="14" xfId="0" applyFont="1" applyFill="1" applyBorder="1" applyAlignment="1" applyProtection="1">
      <alignment vertical="center"/>
    </xf>
    <xf numFmtId="0" fontId="117" fillId="5" borderId="0" xfId="0" applyFont="1" applyFill="1" applyAlignment="1" applyProtection="1">
      <alignment horizontal="center" vertical="center"/>
    </xf>
    <xf numFmtId="188" fontId="116" fillId="5" borderId="14" xfId="0" applyNumberFormat="1" applyFont="1" applyFill="1" applyBorder="1" applyAlignment="1" applyProtection="1">
      <alignment horizontal="center" vertical="center"/>
    </xf>
    <xf numFmtId="0" fontId="76" fillId="5" borderId="4" xfId="0" applyNumberFormat="1" applyFont="1" applyFill="1" applyBorder="1" applyAlignment="1" applyProtection="1">
      <alignment horizontal="center" vertical="center" wrapText="1"/>
    </xf>
    <xf numFmtId="0" fontId="89" fillId="0" borderId="47" xfId="0" applyNumberFormat="1" applyFont="1" applyFill="1" applyBorder="1" applyAlignment="1" applyProtection="1">
      <alignment horizontal="center" vertical="center" wrapText="1"/>
      <protection locked="0"/>
    </xf>
    <xf numFmtId="0" fontId="102" fillId="5" borderId="30" xfId="2" applyFont="1" applyFill="1" applyBorder="1" applyAlignment="1" applyProtection="1">
      <alignment vertical="center"/>
    </xf>
    <xf numFmtId="0" fontId="100" fillId="5" borderId="1" xfId="2" applyFont="1" applyFill="1" applyBorder="1" applyAlignment="1" applyProtection="1">
      <alignment horizontal="left" vertical="center"/>
    </xf>
    <xf numFmtId="0" fontId="100" fillId="5" borderId="29" xfId="2" applyFont="1" applyFill="1" applyBorder="1" applyAlignment="1" applyProtection="1">
      <alignment vertical="center"/>
    </xf>
    <xf numFmtId="178" fontId="100" fillId="5" borderId="6" xfId="2" applyNumberFormat="1" applyFont="1" applyFill="1" applyBorder="1" applyAlignment="1" applyProtection="1">
      <alignment horizontal="center" vertical="center"/>
    </xf>
    <xf numFmtId="0" fontId="100" fillId="5" borderId="6" xfId="2" applyFont="1" applyFill="1" applyBorder="1" applyAlignment="1" applyProtection="1">
      <alignment horizontal="center" vertical="center"/>
    </xf>
    <xf numFmtId="0" fontId="100" fillId="5" borderId="7" xfId="2" applyFont="1" applyFill="1" applyBorder="1" applyAlignment="1" applyProtection="1">
      <alignment horizontal="left" vertical="center"/>
    </xf>
    <xf numFmtId="0" fontId="100" fillId="5" borderId="5" xfId="2" applyFont="1" applyFill="1" applyBorder="1" applyAlignment="1" applyProtection="1">
      <alignment vertical="center"/>
    </xf>
    <xf numFmtId="178" fontId="100" fillId="5" borderId="2" xfId="2" applyNumberFormat="1" applyFont="1" applyFill="1" applyBorder="1" applyAlignment="1" applyProtection="1">
      <alignment horizontal="center" vertical="center"/>
    </xf>
    <xf numFmtId="0" fontId="100" fillId="5" borderId="2" xfId="2" applyFont="1" applyFill="1" applyBorder="1" applyAlignment="1" applyProtection="1">
      <alignment horizontal="center" vertical="center"/>
    </xf>
    <xf numFmtId="0" fontId="100" fillId="5" borderId="12" xfId="2" applyFont="1" applyFill="1" applyBorder="1" applyAlignment="1" applyProtection="1">
      <alignment horizontal="left"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178" fontId="91" fillId="5" borderId="2" xfId="2" applyNumberFormat="1" applyFont="1" applyFill="1" applyBorder="1" applyAlignment="1" applyProtection="1">
      <alignment vertical="center"/>
    </xf>
    <xf numFmtId="10" fontId="91" fillId="5" borderId="2" xfId="2" applyNumberFormat="1" applyFont="1" applyFill="1" applyBorder="1" applyAlignment="1" applyProtection="1">
      <alignment horizontal="center" vertical="center"/>
    </xf>
    <xf numFmtId="0" fontId="118" fillId="5" borderId="5" xfId="2" applyFont="1" applyFill="1" applyBorder="1" applyAlignment="1" applyProtection="1">
      <alignment vertical="center"/>
    </xf>
    <xf numFmtId="178" fontId="118" fillId="5" borderId="2" xfId="2" applyNumberFormat="1" applyFont="1" applyFill="1" applyBorder="1" applyAlignment="1" applyProtection="1">
      <alignment horizontal="center" vertical="center"/>
    </xf>
    <xf numFmtId="178" fontId="118" fillId="5" borderId="2" xfId="2" applyNumberFormat="1" applyFont="1" applyFill="1" applyBorder="1" applyAlignment="1" applyProtection="1">
      <alignment vertical="center"/>
    </xf>
    <xf numFmtId="0" fontId="91" fillId="5" borderId="12" xfId="2" applyFont="1" applyFill="1" applyBorder="1" applyAlignment="1" applyProtection="1">
      <alignment vertical="center" wrapText="1"/>
    </xf>
    <xf numFmtId="180" fontId="100" fillId="5" borderId="2" xfId="2" applyNumberFormat="1" applyFont="1" applyFill="1" applyBorder="1" applyAlignment="1" applyProtection="1">
      <alignment horizontal="center" vertical="center"/>
    </xf>
    <xf numFmtId="9" fontId="100" fillId="5" borderId="5" xfId="2" applyNumberFormat="1" applyFont="1" applyFill="1" applyBorder="1" applyAlignment="1" applyProtection="1">
      <alignment horizontal="center" vertical="center"/>
    </xf>
    <xf numFmtId="0" fontId="100" fillId="5" borderId="2" xfId="0" applyFont="1" applyFill="1" applyBorder="1" applyAlignment="1" applyProtection="1">
      <alignment horizontal="right" vertical="center"/>
    </xf>
    <xf numFmtId="0" fontId="100" fillId="5" borderId="2" xfId="0" applyFont="1" applyFill="1" applyBorder="1" applyAlignment="1" applyProtection="1">
      <alignment horizontal="left" vertical="center"/>
    </xf>
    <xf numFmtId="10" fontId="100" fillId="5" borderId="5" xfId="2" applyNumberFormat="1" applyFont="1" applyFill="1" applyBorder="1" applyAlignment="1" applyProtection="1">
      <alignment horizontal="center" vertical="center"/>
    </xf>
    <xf numFmtId="0" fontId="100" fillId="5" borderId="12" xfId="0" applyFont="1" applyFill="1" applyBorder="1" applyAlignment="1" applyProtection="1">
      <alignment vertical="center" wrapText="1"/>
    </xf>
    <xf numFmtId="0" fontId="100" fillId="5" borderId="5" xfId="2" applyNumberFormat="1" applyFont="1" applyFill="1" applyBorder="1" applyAlignment="1" applyProtection="1">
      <alignment horizontal="center" vertical="center"/>
    </xf>
    <xf numFmtId="0" fontId="100" fillId="5" borderId="45" xfId="2" applyFont="1" applyFill="1" applyBorder="1" applyAlignment="1" applyProtection="1">
      <alignment vertical="center"/>
    </xf>
    <xf numFmtId="178" fontId="100" fillId="5" borderId="44" xfId="2" applyNumberFormat="1" applyFont="1" applyFill="1" applyBorder="1" applyAlignment="1" applyProtection="1">
      <alignment horizontal="center" vertical="center"/>
    </xf>
    <xf numFmtId="180" fontId="100" fillId="5" borderId="44" xfId="2" applyNumberFormat="1" applyFont="1" applyFill="1" applyBorder="1" applyAlignment="1" applyProtection="1">
      <alignment horizontal="center" vertical="center"/>
    </xf>
    <xf numFmtId="9" fontId="100" fillId="5" borderId="45" xfId="2" applyNumberFormat="1" applyFont="1" applyFill="1" applyBorder="1" applyAlignment="1" applyProtection="1">
      <alignment horizontal="center" vertical="center"/>
    </xf>
    <xf numFmtId="0" fontId="100" fillId="5" borderId="46" xfId="0" applyFont="1" applyFill="1" applyBorder="1" applyAlignment="1" applyProtection="1">
      <alignment vertical="center" wrapText="1"/>
    </xf>
    <xf numFmtId="49" fontId="107" fillId="5" borderId="19" xfId="0" applyNumberFormat="1" applyFont="1" applyFill="1" applyBorder="1" applyAlignment="1" applyProtection="1"/>
    <xf numFmtId="49" fontId="106" fillId="2" borderId="35" xfId="0" applyNumberFormat="1" applyFont="1" applyFill="1" applyBorder="1" applyAlignment="1" applyProtection="1">
      <alignment horizontal="left"/>
      <protection locked="0"/>
    </xf>
    <xf numFmtId="178" fontId="106" fillId="5" borderId="19" xfId="0" applyNumberFormat="1" applyFont="1" applyFill="1" applyBorder="1" applyAlignment="1" applyProtection="1"/>
    <xf numFmtId="0" fontId="75" fillId="5" borderId="2" xfId="0" applyFont="1" applyFill="1" applyBorder="1" applyAlignment="1" applyProtection="1">
      <alignment horizontal="center" vertical="center"/>
    </xf>
    <xf numFmtId="49" fontId="106" fillId="5" borderId="0" xfId="0" applyNumberFormat="1" applyFont="1" applyFill="1" applyBorder="1" applyAlignment="1" applyProtection="1">
      <alignment horizontal="center"/>
    </xf>
    <xf numFmtId="49" fontId="81" fillId="5" borderId="1"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29" xfId="0" applyFont="1" applyFill="1" applyBorder="1" applyAlignment="1" applyProtection="1">
      <alignment horizontal="right" vertical="center"/>
    </xf>
    <xf numFmtId="0" fontId="81" fillId="5" borderId="57" xfId="0" applyFont="1" applyFill="1" applyBorder="1" applyAlignment="1" applyProtection="1">
      <alignment horizontal="center" vertical="center"/>
    </xf>
    <xf numFmtId="49" fontId="90" fillId="5" borderId="22" xfId="0" applyNumberFormat="1" applyFont="1" applyFill="1" applyBorder="1" applyAlignment="1" applyProtection="1">
      <alignment vertical="center"/>
    </xf>
    <xf numFmtId="0" fontId="90" fillId="5" borderId="10" xfId="0" applyFont="1" applyFill="1" applyBorder="1" applyAlignment="1" applyProtection="1">
      <alignment vertical="center" wrapText="1"/>
    </xf>
    <xf numFmtId="0" fontId="90" fillId="5" borderId="10" xfId="0" applyFont="1" applyFill="1" applyBorder="1" applyAlignment="1" applyProtection="1">
      <alignment horizontal="center" vertical="center"/>
    </xf>
    <xf numFmtId="0" fontId="81" fillId="5" borderId="2" xfId="0" applyFont="1" applyFill="1" applyBorder="1" applyAlignment="1" applyProtection="1">
      <alignment horizontal="left" vertical="center"/>
    </xf>
    <xf numFmtId="0" fontId="90" fillId="5" borderId="12" xfId="0" applyFont="1" applyFill="1" applyBorder="1" applyAlignment="1" applyProtection="1">
      <alignment horizontal="center" vertical="center"/>
    </xf>
    <xf numFmtId="49" fontId="90" fillId="5" borderId="24" xfId="0" applyNumberFormat="1" applyFont="1" applyFill="1" applyBorder="1" applyAlignment="1" applyProtection="1">
      <alignment vertical="center"/>
    </xf>
    <xf numFmtId="0" fontId="90" fillId="5" borderId="3" xfId="0" applyFont="1" applyFill="1" applyBorder="1" applyAlignment="1" applyProtection="1">
      <alignment vertical="center" wrapText="1"/>
    </xf>
    <xf numFmtId="0" fontId="90" fillId="5" borderId="3" xfId="0" applyFont="1" applyFill="1" applyBorder="1" applyAlignment="1" applyProtection="1">
      <alignment horizontal="center" vertical="center"/>
    </xf>
    <xf numFmtId="0" fontId="81" fillId="5" borderId="3" xfId="0" applyFont="1" applyFill="1" applyBorder="1" applyAlignment="1" applyProtection="1">
      <alignment vertical="center"/>
    </xf>
    <xf numFmtId="49" fontId="90" fillId="5" borderId="50" xfId="0" applyNumberFormat="1" applyFont="1" applyFill="1" applyBorder="1" applyAlignment="1" applyProtection="1">
      <alignment vertical="center"/>
    </xf>
    <xf numFmtId="0" fontId="90" fillId="5" borderId="21" xfId="0" applyFont="1" applyFill="1" applyBorder="1" applyAlignment="1" applyProtection="1">
      <alignment vertical="center" wrapText="1"/>
    </xf>
    <xf numFmtId="0" fontId="90" fillId="5" borderId="21" xfId="0" applyFont="1" applyFill="1" applyBorder="1" applyAlignment="1" applyProtection="1">
      <alignment horizontal="center" vertical="center"/>
    </xf>
    <xf numFmtId="0" fontId="81" fillId="5" borderId="21" xfId="0" applyFont="1" applyFill="1" applyBorder="1" applyAlignment="1" applyProtection="1">
      <alignment vertical="center"/>
    </xf>
    <xf numFmtId="182" fontId="90" fillId="5" borderId="12" xfId="0" applyNumberFormat="1" applyFont="1" applyFill="1" applyBorder="1" applyAlignment="1" applyProtection="1">
      <alignment horizontal="center" vertical="center"/>
    </xf>
    <xf numFmtId="0" fontId="81" fillId="5" borderId="10" xfId="0" applyFont="1" applyFill="1" applyBorder="1" applyAlignment="1" applyProtection="1">
      <alignment horizontal="left" vertical="center"/>
    </xf>
    <xf numFmtId="182" fontId="90" fillId="5" borderId="25" xfId="0" applyNumberFormat="1" applyFont="1" applyFill="1" applyBorder="1" applyAlignment="1" applyProtection="1">
      <alignment horizontal="center" vertical="center"/>
    </xf>
    <xf numFmtId="49" fontId="90" fillId="5" borderId="11" xfId="0" applyNumberFormat="1" applyFont="1" applyFill="1" applyBorder="1" applyAlignment="1" applyProtection="1">
      <alignment horizontal="left" vertical="center"/>
    </xf>
    <xf numFmtId="0" fontId="90" fillId="5" borderId="2" xfId="0" applyFont="1" applyFill="1" applyBorder="1" applyAlignment="1" applyProtection="1">
      <alignment horizontal="left" vertical="center"/>
    </xf>
    <xf numFmtId="0" fontId="90" fillId="5" borderId="2" xfId="0" applyFont="1" applyFill="1" applyBorder="1" applyAlignment="1" applyProtection="1">
      <alignment horizontal="center" vertical="center"/>
    </xf>
    <xf numFmtId="182" fontId="81" fillId="5" borderId="25" xfId="0" applyNumberFormat="1" applyFont="1" applyFill="1" applyBorder="1" applyAlignment="1" applyProtection="1">
      <alignment horizontal="center" vertical="center"/>
    </xf>
    <xf numFmtId="0" fontId="104" fillId="5" borderId="8" xfId="0" applyFont="1" applyFill="1" applyBorder="1" applyAlignment="1" applyProtection="1">
      <alignment vertical="center"/>
    </xf>
    <xf numFmtId="0" fontId="104" fillId="5" borderId="16" xfId="0" applyFont="1" applyFill="1" applyBorder="1" applyAlignment="1" applyProtection="1">
      <alignment vertical="center"/>
    </xf>
    <xf numFmtId="49" fontId="81" fillId="5" borderId="11" xfId="0" applyNumberFormat="1" applyFont="1" applyFill="1" applyBorder="1" applyAlignment="1" applyProtection="1">
      <alignment horizontal="left" vertical="center"/>
    </xf>
    <xf numFmtId="0" fontId="157" fillId="5" borderId="5" xfId="0" applyFont="1" applyFill="1" applyBorder="1" applyAlignment="1" applyProtection="1">
      <alignment horizontal="center" vertical="center"/>
    </xf>
    <xf numFmtId="180" fontId="90" fillId="5" borderId="16" xfId="0" applyNumberFormat="1"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182" fontId="81" fillId="5" borderId="51" xfId="0" applyNumberFormat="1" applyFont="1" applyFill="1" applyBorder="1" applyAlignment="1" applyProtection="1">
      <alignment horizontal="center" vertical="center"/>
    </xf>
    <xf numFmtId="182" fontId="90" fillId="5" borderId="10" xfId="0" applyNumberFormat="1" applyFont="1" applyFill="1" applyBorder="1" applyAlignment="1" applyProtection="1">
      <alignment horizontal="center" vertical="center"/>
    </xf>
    <xf numFmtId="182" fontId="81" fillId="5" borderId="12" xfId="0" applyNumberFormat="1" applyFont="1" applyFill="1" applyBorder="1" applyAlignment="1" applyProtection="1">
      <alignment horizontal="center" vertical="center"/>
    </xf>
    <xf numFmtId="182" fontId="81" fillId="5" borderId="16" xfId="0" applyNumberFormat="1" applyFont="1" applyFill="1" applyBorder="1" applyAlignment="1" applyProtection="1">
      <alignment horizontal="center" vertical="center" wrapText="1"/>
    </xf>
    <xf numFmtId="0" fontId="81" fillId="2"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vertical="center" wrapText="1"/>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horizontal="left" vertical="center" wrapText="1"/>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horizontal="left" vertical="center" wrapText="1"/>
    </xf>
    <xf numFmtId="10" fontId="90" fillId="5" borderId="12" xfId="0" applyNumberFormat="1" applyFont="1" applyFill="1" applyBorder="1" applyAlignment="1" applyProtection="1">
      <alignment horizontal="center" vertical="center"/>
    </xf>
    <xf numFmtId="183" fontId="90" fillId="5" borderId="12" xfId="0" applyNumberFormat="1" applyFont="1" applyFill="1" applyBorder="1" applyAlignment="1" applyProtection="1">
      <alignment horizontal="center" vertical="center"/>
    </xf>
    <xf numFmtId="10" fontId="81" fillId="5" borderId="12" xfId="0" applyNumberFormat="1" applyFont="1" applyFill="1" applyBorder="1" applyAlignment="1" applyProtection="1">
      <alignment horizontal="center" vertical="center"/>
    </xf>
    <xf numFmtId="0" fontId="81" fillId="5" borderId="16" xfId="0" applyFont="1" applyFill="1" applyBorder="1" applyAlignment="1" applyProtection="1">
      <alignment horizontal="center" vertical="center" wrapText="1"/>
    </xf>
    <xf numFmtId="0" fontId="81" fillId="5" borderId="3" xfId="0" applyFont="1" applyFill="1" applyBorder="1" applyAlignment="1" applyProtection="1">
      <alignment horizontal="left" vertical="center" wrapText="1"/>
    </xf>
    <xf numFmtId="180" fontId="90" fillId="5" borderId="12" xfId="0" applyNumberFormat="1" applyFont="1" applyFill="1" applyBorder="1" applyAlignment="1" applyProtection="1">
      <alignment horizontal="center" vertical="center"/>
    </xf>
    <xf numFmtId="49" fontId="90" fillId="5" borderId="43" xfId="0" applyNumberFormat="1" applyFont="1" applyFill="1" applyBorder="1" applyAlignment="1" applyProtection="1">
      <alignment horizontal="left" vertical="center"/>
    </xf>
    <xf numFmtId="0" fontId="90" fillId="5" borderId="44" xfId="0" applyFont="1" applyFill="1" applyBorder="1" applyAlignment="1" applyProtection="1">
      <alignment horizontal="left" vertical="center"/>
    </xf>
    <xf numFmtId="0" fontId="90" fillId="5" borderId="44" xfId="0" applyFont="1" applyFill="1" applyBorder="1" applyAlignment="1" applyProtection="1">
      <alignment horizontal="center" vertical="center"/>
    </xf>
    <xf numFmtId="0" fontId="81" fillId="5" borderId="44" xfId="0" applyFont="1" applyFill="1" applyBorder="1" applyAlignment="1" applyProtection="1">
      <alignment vertical="center"/>
    </xf>
    <xf numFmtId="0" fontId="81" fillId="5" borderId="44" xfId="0" applyFont="1" applyFill="1" applyBorder="1" applyAlignment="1" applyProtection="1">
      <alignment horizontal="left" vertical="center"/>
    </xf>
    <xf numFmtId="180" fontId="90" fillId="5" borderId="46" xfId="0" applyNumberFormat="1" applyFont="1" applyFill="1" applyBorder="1" applyAlignment="1" applyProtection="1">
      <alignment horizontal="center" vertical="center"/>
    </xf>
    <xf numFmtId="0" fontId="90" fillId="5" borderId="9" xfId="0" applyFont="1" applyFill="1" applyBorder="1" applyAlignment="1" applyProtection="1">
      <alignment horizontal="center" vertical="center"/>
    </xf>
    <xf numFmtId="182" fontId="90" fillId="5" borderId="51" xfId="0" applyNumberFormat="1" applyFont="1" applyFill="1" applyBorder="1" applyAlignment="1" applyProtection="1">
      <alignment horizontal="center" vertical="center"/>
    </xf>
    <xf numFmtId="49" fontId="81" fillId="5" borderId="23" xfId="0" applyNumberFormat="1" applyFont="1" applyFill="1" applyBorder="1" applyAlignment="1" applyProtection="1">
      <alignment horizontal="left" vertical="center"/>
    </xf>
    <xf numFmtId="49" fontId="106" fillId="5" borderId="19" xfId="0" applyNumberFormat="1" applyFont="1" applyFill="1" applyBorder="1" applyAlignment="1" applyProtection="1"/>
    <xf numFmtId="0" fontId="102" fillId="5" borderId="44" xfId="2" applyFont="1" applyFill="1" applyBorder="1" applyAlignment="1" applyProtection="1">
      <alignment vertical="center"/>
    </xf>
    <xf numFmtId="0" fontId="75" fillId="5" borderId="44" xfId="0" applyFont="1" applyFill="1" applyBorder="1" applyAlignment="1" applyProtection="1">
      <alignment horizontal="center" vertical="center"/>
    </xf>
    <xf numFmtId="0" fontId="76" fillId="5" borderId="2" xfId="0" applyFont="1" applyFill="1" applyBorder="1" applyAlignment="1" applyProtection="1"/>
    <xf numFmtId="0" fontId="76" fillId="5" borderId="2" xfId="0" applyFont="1" applyFill="1" applyBorder="1" applyAlignment="1" applyProtection="1">
      <alignment horizontal="center"/>
    </xf>
    <xf numFmtId="0" fontId="91" fillId="5" borderId="2" xfId="0" applyFont="1" applyFill="1" applyBorder="1" applyAlignment="1" applyProtection="1">
      <alignment horizontal="left"/>
    </xf>
    <xf numFmtId="185" fontId="91" fillId="5" borderId="2" xfId="0" applyNumberFormat="1" applyFont="1" applyFill="1" applyBorder="1" applyAlignment="1" applyProtection="1">
      <alignment horizontal="center"/>
    </xf>
    <xf numFmtId="0" fontId="91" fillId="5" borderId="2" xfId="0" applyFont="1" applyFill="1" applyBorder="1" applyAlignment="1" applyProtection="1">
      <alignment vertical="center" wrapText="1"/>
    </xf>
    <xf numFmtId="182" fontId="90" fillId="5" borderId="2" xfId="0" applyNumberFormat="1" applyFont="1" applyFill="1" applyBorder="1" applyAlignment="1" applyProtection="1">
      <alignment horizontal="center" vertical="center"/>
    </xf>
    <xf numFmtId="0" fontId="162" fillId="5" borderId="2" xfId="0" applyFont="1" applyFill="1" applyBorder="1" applyAlignment="1" applyProtection="1">
      <alignment horizontal="left"/>
    </xf>
    <xf numFmtId="0" fontId="162" fillId="5" borderId="2" xfId="0" applyFont="1" applyFill="1" applyBorder="1" applyAlignment="1" applyProtection="1">
      <alignment horizontal="center"/>
    </xf>
    <xf numFmtId="0" fontId="122" fillId="5" borderId="2" xfId="0" applyFont="1" applyFill="1" applyBorder="1" applyAlignment="1" applyProtection="1">
      <alignment horizontal="left"/>
    </xf>
    <xf numFmtId="0" fontId="122" fillId="5" borderId="2" xfId="0" applyFont="1" applyFill="1" applyBorder="1" applyAlignment="1" applyProtection="1">
      <alignment horizontal="center"/>
    </xf>
    <xf numFmtId="182" fontId="91" fillId="5" borderId="2" xfId="0" applyNumberFormat="1" applyFont="1" applyFill="1" applyBorder="1" applyAlignment="1" applyProtection="1">
      <alignment horizontal="center"/>
    </xf>
    <xf numFmtId="0" fontId="111" fillId="5" borderId="2" xfId="0" applyFont="1" applyFill="1" applyBorder="1" applyAlignment="1" applyProtection="1">
      <alignment horizontal="center" vertical="center"/>
    </xf>
    <xf numFmtId="0" fontId="81" fillId="5" borderId="2" xfId="0" applyFont="1" applyFill="1" applyBorder="1" applyAlignment="1" applyProtection="1"/>
    <xf numFmtId="182" fontId="81" fillId="5" borderId="2" xfId="0" applyNumberFormat="1" applyFont="1" applyFill="1" applyBorder="1" applyAlignment="1" applyProtection="1">
      <alignment horizontal="center"/>
    </xf>
    <xf numFmtId="0" fontId="106" fillId="2" borderId="14" xfId="0" applyFont="1" applyFill="1" applyBorder="1" applyAlignment="1" applyProtection="1">
      <alignment vertical="center"/>
      <protection locked="0"/>
    </xf>
    <xf numFmtId="0" fontId="102" fillId="5" borderId="2" xfId="0" applyFont="1" applyFill="1" applyBorder="1" applyAlignment="1" applyProtection="1">
      <alignment horizontal="right" vertical="center"/>
    </xf>
    <xf numFmtId="0" fontId="102" fillId="5" borderId="10" xfId="0" applyFont="1" applyFill="1" applyBorder="1" applyAlignment="1" applyProtection="1">
      <alignment horizontal="right" vertical="center"/>
    </xf>
    <xf numFmtId="0" fontId="102" fillId="5" borderId="10" xfId="0" applyFont="1" applyFill="1" applyBorder="1" applyAlignment="1" applyProtection="1">
      <alignment horizontal="center" vertical="center"/>
    </xf>
    <xf numFmtId="188" fontId="76" fillId="5" borderId="57" xfId="0" applyNumberFormat="1" applyFont="1" applyFill="1" applyBorder="1" applyAlignment="1" applyProtection="1">
      <alignment horizontal="center" vertical="center" wrapText="1"/>
    </xf>
    <xf numFmtId="188" fontId="76" fillId="5" borderId="16" xfId="0" applyNumberFormat="1" applyFont="1" applyFill="1" applyBorder="1" applyAlignment="1" applyProtection="1">
      <alignment horizontal="center" vertical="center" wrapText="1"/>
    </xf>
    <xf numFmtId="0" fontId="76" fillId="5" borderId="16" xfId="0" applyNumberFormat="1" applyFont="1" applyFill="1" applyBorder="1" applyAlignment="1" applyProtection="1">
      <alignment horizontal="center" vertical="center" wrapText="1"/>
    </xf>
    <xf numFmtId="49" fontId="76" fillId="2" borderId="62" xfId="0" applyNumberFormat="1" applyFont="1" applyFill="1" applyBorder="1" applyAlignment="1" applyProtection="1">
      <alignment horizontal="center" vertical="center" wrapText="1"/>
      <protection locked="0"/>
    </xf>
    <xf numFmtId="0" fontId="76" fillId="0" borderId="59" xfId="0" applyNumberFormat="1" applyFont="1" applyFill="1" applyBorder="1" applyAlignment="1" applyProtection="1">
      <alignment horizontal="center" vertical="center" wrapText="1"/>
      <protection locked="0"/>
    </xf>
    <xf numFmtId="49" fontId="76" fillId="2" borderId="42" xfId="0" applyNumberFormat="1" applyFont="1" applyFill="1" applyBorder="1" applyAlignment="1" applyProtection="1">
      <alignment horizontal="center" vertical="center" wrapText="1"/>
      <protection locked="0"/>
    </xf>
    <xf numFmtId="0" fontId="76" fillId="5" borderId="29" xfId="0" applyNumberFormat="1" applyFont="1" applyFill="1" applyBorder="1" applyAlignment="1" applyProtection="1">
      <alignment horizontal="center" vertical="center" wrapText="1"/>
    </xf>
    <xf numFmtId="49" fontId="76" fillId="2" borderId="1" xfId="0" applyNumberFormat="1" applyFont="1" applyFill="1" applyBorder="1" applyAlignment="1" applyProtection="1">
      <alignment horizontal="center" vertical="center" wrapText="1"/>
      <protection locked="0"/>
    </xf>
    <xf numFmtId="49" fontId="76" fillId="2" borderId="11" xfId="0" applyNumberFormat="1" applyFont="1" applyFill="1" applyBorder="1" applyAlignment="1" applyProtection="1">
      <alignment horizontal="center" vertical="center" wrapText="1"/>
      <protection locked="0"/>
    </xf>
    <xf numFmtId="49" fontId="76" fillId="2" borderId="9" xfId="0" applyNumberFormat="1" applyFont="1" applyFill="1" applyBorder="1" applyAlignment="1" applyProtection="1">
      <alignment horizontal="center" vertical="center" wrapText="1"/>
      <protection locked="0"/>
    </xf>
    <xf numFmtId="0" fontId="76" fillId="5" borderId="5" xfId="0" applyNumberFormat="1" applyFont="1" applyFill="1" applyBorder="1" applyAlignment="1" applyProtection="1">
      <alignment horizontal="center" vertical="center" wrapText="1"/>
    </xf>
    <xf numFmtId="0" fontId="111" fillId="0" borderId="16" xfId="0" applyNumberFormat="1" applyFont="1" applyFill="1" applyBorder="1" applyAlignment="1" applyProtection="1">
      <alignment horizontal="center" vertical="center" wrapText="1"/>
      <protection locked="0"/>
    </xf>
    <xf numFmtId="0" fontId="111" fillId="5" borderId="16" xfId="0" applyNumberFormat="1" applyFont="1" applyFill="1" applyBorder="1" applyAlignment="1" applyProtection="1">
      <alignment horizontal="center" vertical="center" wrapText="1"/>
    </xf>
    <xf numFmtId="0" fontId="89" fillId="5" borderId="45" xfId="0" applyNumberFormat="1" applyFont="1" applyFill="1" applyBorder="1" applyAlignment="1" applyProtection="1">
      <alignment horizontal="center" vertical="center" wrapText="1"/>
    </xf>
    <xf numFmtId="49" fontId="89" fillId="5" borderId="53" xfId="0" applyNumberFormat="1" applyFont="1" applyFill="1" applyBorder="1" applyAlignment="1" applyProtection="1">
      <alignment horizontal="center" vertical="center" wrapText="1"/>
    </xf>
    <xf numFmtId="0" fontId="111" fillId="0" borderId="76" xfId="0" applyNumberFormat="1" applyFont="1" applyFill="1" applyBorder="1" applyAlignment="1" applyProtection="1">
      <alignment horizontal="center" vertical="center" wrapText="1"/>
      <protection locked="0"/>
    </xf>
    <xf numFmtId="0" fontId="89" fillId="5" borderId="0" xfId="0" applyFont="1" applyFill="1" applyBorder="1" applyAlignment="1" applyProtection="1">
      <alignment horizontal="center" vertical="center"/>
    </xf>
    <xf numFmtId="0" fontId="111" fillId="5" borderId="77" xfId="0" applyNumberFormat="1"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xf>
    <xf numFmtId="0" fontId="89" fillId="5" borderId="22" xfId="0" applyNumberFormat="1" applyFont="1" applyFill="1" applyBorder="1" applyAlignment="1" applyProtection="1">
      <alignment horizontal="center" vertical="center" wrapText="1"/>
    </xf>
    <xf numFmtId="0" fontId="89" fillId="2" borderId="24" xfId="0" applyNumberFormat="1" applyFont="1" applyFill="1" applyBorder="1" applyAlignment="1" applyProtection="1">
      <alignment horizontal="center" vertical="center" wrapText="1"/>
      <protection locked="0"/>
    </xf>
    <xf numFmtId="49" fontId="89" fillId="2" borderId="9" xfId="0" applyNumberFormat="1" applyFont="1" applyFill="1" applyBorder="1" applyAlignment="1" applyProtection="1">
      <alignment horizontal="center" vertical="center" wrapText="1"/>
      <protection locked="0"/>
    </xf>
    <xf numFmtId="0" fontId="76" fillId="5" borderId="51" xfId="0" applyNumberFormat="1" applyFont="1" applyFill="1" applyBorder="1" applyAlignment="1" applyProtection="1">
      <alignment horizontal="center" vertical="center" wrapText="1"/>
    </xf>
    <xf numFmtId="0" fontId="76" fillId="5" borderId="17" xfId="0" applyNumberFormat="1" applyFont="1" applyFill="1" applyBorder="1" applyAlignment="1" applyProtection="1">
      <alignment horizontal="center" vertical="center" wrapText="1"/>
    </xf>
    <xf numFmtId="0" fontId="76" fillId="0" borderId="5" xfId="0" applyFont="1" applyFill="1" applyBorder="1" applyAlignment="1" applyProtection="1">
      <alignment horizontal="center" vertical="center" wrapText="1"/>
      <protection locked="0"/>
    </xf>
    <xf numFmtId="0" fontId="89" fillId="2" borderId="1" xfId="0" applyFont="1" applyFill="1" applyBorder="1" applyAlignment="1" applyProtection="1">
      <alignment horizontal="center" vertical="center" wrapText="1"/>
      <protection locked="0"/>
    </xf>
    <xf numFmtId="0" fontId="89" fillId="2" borderId="42" xfId="0"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9" fillId="2" borderId="11" xfId="0" applyFont="1" applyFill="1" applyBorder="1" applyAlignment="1" applyProtection="1">
      <alignment horizontal="center" vertical="center" wrapText="1"/>
      <protection locked="0"/>
    </xf>
    <xf numFmtId="0" fontId="89" fillId="2" borderId="9" xfId="0" applyFont="1" applyFill="1" applyBorder="1" applyAlignment="1" applyProtection="1">
      <alignment horizontal="center" vertical="center" wrapText="1"/>
      <protection locked="0"/>
    </xf>
    <xf numFmtId="9" fontId="76" fillId="0" borderId="64" xfId="0" applyNumberFormat="1" applyFont="1" applyFill="1" applyBorder="1" applyAlignment="1" applyProtection="1">
      <alignment horizontal="center" vertical="center" wrapText="1"/>
      <protection locked="0"/>
    </xf>
    <xf numFmtId="9" fontId="76" fillId="0" borderId="9" xfId="0" applyNumberFormat="1" applyFont="1" applyFill="1" applyBorder="1" applyAlignment="1" applyProtection="1">
      <alignment horizontal="center" vertical="center" wrapText="1"/>
      <protection locked="0"/>
    </xf>
    <xf numFmtId="9" fontId="76" fillId="0" borderId="11" xfId="0" applyNumberFormat="1" applyFont="1" applyFill="1" applyBorder="1" applyAlignment="1" applyProtection="1">
      <alignment horizontal="center" vertical="center" wrapText="1"/>
      <protection locked="0"/>
    </xf>
    <xf numFmtId="0" fontId="88" fillId="5" borderId="23" xfId="0" applyFont="1" applyFill="1" applyBorder="1" applyAlignment="1" applyProtection="1">
      <alignment vertical="center" textRotation="255" wrapText="1"/>
    </xf>
    <xf numFmtId="49" fontId="88" fillId="5" borderId="30" xfId="0" applyNumberFormat="1" applyFont="1" applyFill="1" applyBorder="1" applyAlignment="1" applyProtection="1">
      <alignment vertical="center"/>
    </xf>
    <xf numFmtId="49" fontId="88" fillId="5" borderId="56" xfId="0" applyNumberFormat="1" applyFont="1" applyFill="1" applyBorder="1" applyAlignment="1" applyProtection="1">
      <alignment vertical="center"/>
    </xf>
    <xf numFmtId="0" fontId="76" fillId="0" borderId="32"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76" fillId="0" borderId="78" xfId="0" applyNumberFormat="1" applyFont="1" applyFill="1" applyBorder="1" applyAlignment="1" applyProtection="1">
      <alignment horizontal="center" vertical="center"/>
      <protection locked="0"/>
    </xf>
    <xf numFmtId="0" fontId="88" fillId="5" borderId="23" xfId="0" applyNumberFormat="1" applyFont="1" applyFill="1" applyBorder="1" applyAlignment="1" applyProtection="1">
      <alignment vertical="center" wrapText="1"/>
    </xf>
    <xf numFmtId="0" fontId="76" fillId="5" borderId="2" xfId="0" applyNumberFormat="1" applyFont="1" applyFill="1" applyBorder="1" applyAlignment="1" applyProtection="1">
      <alignment horizontal="center" vertical="center" wrapText="1"/>
    </xf>
    <xf numFmtId="0" fontId="85" fillId="5" borderId="2" xfId="0" applyNumberFormat="1" applyFont="1" applyFill="1" applyBorder="1" applyAlignment="1" applyProtection="1">
      <alignment horizontal="center" vertical="center" wrapText="1"/>
    </xf>
    <xf numFmtId="0" fontId="85" fillId="5" borderId="2" xfId="0" applyNumberFormat="1" applyFont="1" applyFill="1" applyBorder="1" applyAlignment="1" applyProtection="1">
      <alignment horizontal="left" vertical="center" wrapText="1"/>
    </xf>
    <xf numFmtId="0" fontId="85" fillId="5" borderId="12" xfId="0" applyNumberFormat="1" applyFont="1" applyFill="1" applyBorder="1" applyAlignment="1" applyProtection="1">
      <alignment horizontal="center" vertical="center" wrapText="1"/>
    </xf>
    <xf numFmtId="0" fontId="111" fillId="0" borderId="22" xfId="0" applyNumberFormat="1" applyFont="1" applyFill="1" applyBorder="1" applyAlignment="1" applyProtection="1">
      <alignment horizontal="center" vertical="center" wrapText="1"/>
      <protection locked="0"/>
    </xf>
    <xf numFmtId="0" fontId="111" fillId="5" borderId="50" xfId="0" applyNumberFormat="1" applyFont="1" applyFill="1" applyBorder="1" applyAlignment="1" applyProtection="1">
      <alignment horizontal="center" vertical="center" wrapText="1"/>
    </xf>
    <xf numFmtId="49" fontId="89" fillId="5" borderId="22" xfId="0" applyNumberFormat="1" applyFont="1" applyFill="1" applyBorder="1" applyAlignment="1" applyProtection="1">
      <alignment horizontal="center" vertical="center" wrapText="1"/>
    </xf>
    <xf numFmtId="0" fontId="76" fillId="2" borderId="50" xfId="0" applyNumberFormat="1" applyFont="1" applyFill="1" applyBorder="1" applyAlignment="1" applyProtection="1">
      <alignment horizontal="center" vertical="center" wrapText="1"/>
      <protection locked="0"/>
    </xf>
    <xf numFmtId="17" fontId="85" fillId="0" borderId="64" xfId="0" applyNumberFormat="1" applyFont="1" applyFill="1" applyBorder="1" applyAlignment="1" applyProtection="1">
      <alignment horizontal="center" vertical="center" wrapText="1"/>
      <protection locked="0"/>
    </xf>
    <xf numFmtId="0" fontId="85" fillId="0" borderId="64" xfId="0" applyNumberFormat="1" applyFont="1" applyFill="1" applyBorder="1" applyAlignment="1" applyProtection="1">
      <alignment horizontal="center" vertical="center" wrapText="1"/>
      <protection locked="0"/>
    </xf>
    <xf numFmtId="0" fontId="89" fillId="5" borderId="5" xfId="0" applyFont="1" applyFill="1" applyBorder="1" applyAlignment="1" applyProtection="1">
      <alignment horizontal="center" vertical="center" wrapText="1"/>
    </xf>
    <xf numFmtId="0" fontId="89" fillId="0" borderId="3"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left" vertical="center" wrapText="1"/>
      <protection locked="0"/>
    </xf>
    <xf numFmtId="0" fontId="110" fillId="0" borderId="52" xfId="0" applyNumberFormat="1" applyFont="1" applyFill="1" applyBorder="1" applyAlignment="1" applyProtection="1">
      <alignment horizontal="center" vertical="center" wrapText="1"/>
      <protection locked="0"/>
    </xf>
    <xf numFmtId="0" fontId="154" fillId="0" borderId="74" xfId="0" applyNumberFormat="1" applyFont="1" applyFill="1" applyBorder="1" applyAlignment="1" applyProtection="1">
      <alignment horizontal="center" vertical="center" wrapText="1"/>
      <protection locked="0"/>
    </xf>
    <xf numFmtId="0" fontId="76" fillId="0" borderId="20" xfId="0" applyNumberFormat="1" applyFont="1" applyFill="1" applyBorder="1" applyAlignment="1" applyProtection="1">
      <alignment horizontal="center" vertical="center" wrapText="1"/>
      <protection locked="0"/>
    </xf>
    <xf numFmtId="0" fontId="76" fillId="0" borderId="23"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center" vertical="center" wrapText="1"/>
      <protection locked="0"/>
    </xf>
    <xf numFmtId="0" fontId="76" fillId="2" borderId="20" xfId="0" applyNumberFormat="1" applyFont="1" applyFill="1" applyBorder="1" applyAlignment="1" applyProtection="1">
      <alignment horizontal="center" vertical="center" wrapText="1"/>
      <protection locked="0"/>
    </xf>
    <xf numFmtId="0" fontId="76" fillId="0" borderId="46" xfId="0" applyFont="1" applyFill="1" applyBorder="1" applyAlignment="1" applyProtection="1">
      <alignment horizontal="center" vertical="center" wrapText="1"/>
      <protection locked="0"/>
    </xf>
    <xf numFmtId="0" fontId="89" fillId="0" borderId="56" xfId="0" applyNumberFormat="1" applyFont="1" applyFill="1" applyBorder="1" applyAlignment="1" applyProtection="1">
      <alignment horizontal="center" vertical="center" wrapText="1"/>
      <protection locked="0"/>
    </xf>
    <xf numFmtId="0" fontId="89" fillId="2" borderId="1" xfId="0" applyNumberFormat="1" applyFont="1" applyFill="1" applyBorder="1" applyAlignment="1" applyProtection="1">
      <alignment horizontal="center" vertical="center" wrapText="1"/>
      <protection locked="0"/>
    </xf>
    <xf numFmtId="0" fontId="89" fillId="5" borderId="73" xfId="0" applyNumberFormat="1" applyFont="1" applyFill="1" applyBorder="1" applyAlignment="1" applyProtection="1">
      <alignment horizontal="center" vertical="center" wrapText="1"/>
    </xf>
    <xf numFmtId="0" fontId="89" fillId="0" borderId="74" xfId="0" applyNumberFormat="1" applyFont="1" applyFill="1" applyBorder="1" applyAlignment="1" applyProtection="1">
      <alignment horizontal="left" vertical="center" wrapText="1"/>
      <protection locked="0"/>
    </xf>
    <xf numFmtId="0" fontId="89" fillId="0" borderId="75" xfId="0" applyNumberFormat="1" applyFont="1" applyFill="1" applyBorder="1" applyAlignment="1" applyProtection="1">
      <alignment horizontal="center" vertical="center" wrapText="1"/>
      <protection locked="0"/>
    </xf>
    <xf numFmtId="0" fontId="76" fillId="0" borderId="8" xfId="0" applyNumberFormat="1" applyFont="1" applyFill="1" applyBorder="1" applyAlignment="1" applyProtection="1">
      <alignment horizontal="center" vertical="center" wrapText="1"/>
      <protection locked="0"/>
    </xf>
    <xf numFmtId="0" fontId="89" fillId="5" borderId="53" xfId="0" applyNumberFormat="1"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wrapText="1"/>
    </xf>
    <xf numFmtId="0" fontId="106" fillId="2" borderId="14" xfId="0" applyFont="1" applyFill="1" applyBorder="1" applyAlignment="1" applyProtection="1">
      <alignment horizontal="right" vertical="center"/>
      <protection locked="0"/>
    </xf>
    <xf numFmtId="0" fontId="89" fillId="5" borderId="52" xfId="0" applyFont="1" applyFill="1" applyBorder="1" applyAlignment="1" applyProtection="1">
      <alignment horizontal="center" vertical="center"/>
    </xf>
    <xf numFmtId="0" fontId="76" fillId="0" borderId="25" xfId="0" applyFont="1" applyFill="1" applyBorder="1" applyAlignment="1" applyProtection="1">
      <alignment horizontal="center" vertical="center" wrapText="1"/>
      <protection locked="0"/>
    </xf>
    <xf numFmtId="0" fontId="76" fillId="5" borderId="69" xfId="0" applyNumberFormat="1" applyFont="1" applyFill="1" applyBorder="1" applyAlignment="1" applyProtection="1">
      <alignment horizontal="center" vertical="center" wrapText="1"/>
    </xf>
    <xf numFmtId="0" fontId="76" fillId="5" borderId="68" xfId="0" applyNumberFormat="1" applyFont="1" applyFill="1" applyBorder="1" applyAlignment="1" applyProtection="1">
      <alignment horizontal="center" vertical="center" wrapText="1"/>
    </xf>
    <xf numFmtId="0" fontId="89" fillId="5" borderId="50" xfId="0" applyNumberFormat="1" applyFont="1" applyFill="1" applyBorder="1" applyAlignment="1" applyProtection="1">
      <alignment horizontal="center" vertical="center" wrapText="1"/>
    </xf>
    <xf numFmtId="0" fontId="105" fillId="5" borderId="31" xfId="0" applyFont="1" applyFill="1" applyBorder="1" applyAlignment="1" applyProtection="1">
      <alignment vertical="center" textRotation="255" wrapText="1"/>
    </xf>
    <xf numFmtId="49" fontId="76" fillId="0" borderId="64" xfId="0" applyNumberFormat="1" applyFont="1" applyFill="1" applyBorder="1" applyAlignment="1" applyProtection="1">
      <alignment horizontal="center" vertical="center" wrapText="1"/>
      <protection locked="0"/>
    </xf>
    <xf numFmtId="0" fontId="88" fillId="5" borderId="31" xfId="0" applyFont="1" applyFill="1" applyBorder="1" applyAlignment="1" applyProtection="1">
      <alignment vertical="center" textRotation="255" wrapText="1"/>
    </xf>
    <xf numFmtId="0" fontId="76" fillId="2"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88" fillId="5" borderId="54" xfId="0" applyFont="1" applyFill="1" applyBorder="1" applyAlignment="1" applyProtection="1">
      <alignment vertical="center" textRotation="255" wrapText="1"/>
    </xf>
    <xf numFmtId="0" fontId="89" fillId="5" borderId="3" xfId="0" applyNumberFormat="1" applyFont="1" applyFill="1" applyBorder="1" applyAlignment="1" applyProtection="1">
      <alignment horizontal="center" vertical="center" wrapText="1"/>
    </xf>
    <xf numFmtId="49" fontId="89" fillId="0" borderId="6" xfId="0" applyNumberFormat="1" applyFont="1" applyFill="1" applyBorder="1" applyAlignment="1" applyProtection="1">
      <alignment horizontal="center" vertical="center" wrapText="1"/>
      <protection locked="0"/>
    </xf>
    <xf numFmtId="49" fontId="110" fillId="0" borderId="6" xfId="0" applyNumberFormat="1" applyFont="1" applyFill="1" applyBorder="1" applyAlignment="1" applyProtection="1">
      <alignment horizontal="center" vertical="center" wrapText="1"/>
      <protection locked="0"/>
    </xf>
    <xf numFmtId="49" fontId="110" fillId="0" borderId="6" xfId="0" applyNumberFormat="1" applyFont="1" applyFill="1" applyBorder="1" applyAlignment="1" applyProtection="1">
      <alignment horizontal="left" vertical="center" wrapText="1"/>
      <protection locked="0"/>
    </xf>
    <xf numFmtId="49" fontId="110" fillId="0" borderId="7" xfId="0" applyNumberFormat="1" applyFont="1" applyFill="1" applyBorder="1" applyAlignment="1" applyProtection="1">
      <alignment horizontal="center" vertical="center" wrapText="1"/>
      <protection locked="0"/>
    </xf>
    <xf numFmtId="0" fontId="89" fillId="0" borderId="81" xfId="0" applyNumberFormat="1" applyFont="1" applyFill="1" applyBorder="1" applyAlignment="1" applyProtection="1">
      <alignment horizontal="center" vertical="center" wrapText="1"/>
      <protection locked="0"/>
    </xf>
    <xf numFmtId="0" fontId="76" fillId="5" borderId="52"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89" fillId="5" borderId="29" xfId="0" applyNumberFormat="1" applyFont="1" applyFill="1" applyBorder="1" applyAlignment="1" applyProtection="1">
      <alignment horizontal="center" vertical="center" wrapText="1"/>
    </xf>
    <xf numFmtId="0" fontId="76" fillId="0" borderId="60" xfId="0" applyNumberFormat="1" applyFont="1" applyFill="1" applyBorder="1" applyAlignment="1" applyProtection="1">
      <alignment horizontal="center" vertical="center" wrapText="1"/>
      <protection locked="0"/>
    </xf>
    <xf numFmtId="0" fontId="110" fillId="5" borderId="3" xfId="0" applyNumberFormat="1" applyFont="1" applyFill="1" applyBorder="1" applyAlignment="1" applyProtection="1">
      <alignment horizontal="center" vertical="center" wrapText="1"/>
    </xf>
    <xf numFmtId="0" fontId="110" fillId="5" borderId="3" xfId="0" applyNumberFormat="1" applyFont="1" applyFill="1" applyBorder="1" applyAlignment="1" applyProtection="1">
      <alignment horizontal="left" vertical="center" wrapText="1"/>
    </xf>
    <xf numFmtId="0" fontId="110" fillId="5" borderId="52" xfId="0" applyNumberFormat="1" applyFont="1" applyFill="1" applyBorder="1" applyAlignment="1" applyProtection="1">
      <alignment horizontal="center" vertical="center" wrapText="1"/>
    </xf>
    <xf numFmtId="0" fontId="81" fillId="5" borderId="0" xfId="0" applyFont="1" applyFill="1" applyAlignment="1" applyProtection="1">
      <alignment horizontal="center" vertical="center"/>
    </xf>
    <xf numFmtId="0" fontId="81" fillId="5" borderId="26" xfId="0" applyNumberFormat="1" applyFont="1" applyFill="1" applyBorder="1" applyAlignment="1" applyProtection="1">
      <alignment horizontal="center" vertical="center" wrapText="1"/>
    </xf>
    <xf numFmtId="0" fontId="81" fillId="5" borderId="1"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81" fillId="5" borderId="39" xfId="0" applyNumberFormat="1" applyFont="1" applyFill="1" applyBorder="1" applyAlignment="1" applyProtection="1">
      <alignment horizontal="center" vertical="center" wrapText="1"/>
    </xf>
    <xf numFmtId="0" fontId="81" fillId="5" borderId="31" xfId="0" applyNumberFormat="1" applyFont="1" applyFill="1" applyBorder="1" applyAlignment="1" applyProtection="1">
      <alignment horizontal="center" vertical="center"/>
    </xf>
    <xf numFmtId="0" fontId="81" fillId="0" borderId="11"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4" fillId="0" borderId="2" xfId="0" applyNumberFormat="1" applyFont="1" applyFill="1" applyBorder="1" applyAlignment="1" applyProtection="1">
      <alignment horizontal="center" vertical="center" wrapText="1"/>
      <protection locked="0"/>
    </xf>
    <xf numFmtId="0" fontId="84" fillId="0" borderId="2" xfId="0" applyNumberFormat="1" applyFont="1" applyFill="1" applyBorder="1" applyAlignment="1" applyProtection="1">
      <alignment horizontal="left" vertical="center" wrapText="1"/>
      <protection locked="0"/>
    </xf>
    <xf numFmtId="0" fontId="84" fillId="5" borderId="15" xfId="0" applyNumberFormat="1" applyFont="1" applyFill="1" applyBorder="1" applyAlignment="1" applyProtection="1">
      <alignment horizontal="center" vertical="center" wrapText="1"/>
    </xf>
    <xf numFmtId="0" fontId="81" fillId="0" borderId="65" xfId="0" applyNumberFormat="1" applyFont="1" applyFill="1" applyBorder="1" applyAlignment="1" applyProtection="1">
      <alignment horizontal="center" vertical="center" wrapText="1"/>
      <protection locked="0"/>
    </xf>
    <xf numFmtId="0" fontId="75" fillId="5" borderId="2" xfId="0" applyFont="1" applyFill="1" applyBorder="1" applyProtection="1">
      <alignment vertical="center"/>
    </xf>
    <xf numFmtId="0" fontId="122" fillId="0" borderId="2" xfId="0" applyFont="1" applyFill="1" applyBorder="1" applyAlignment="1" applyProtection="1">
      <alignment horizontal="center" vertical="center"/>
      <protection locked="0"/>
    </xf>
    <xf numFmtId="0" fontId="122" fillId="5" borderId="2" xfId="0" applyFont="1" applyFill="1" applyBorder="1" applyAlignment="1" applyProtection="1">
      <alignment horizontal="center" vertical="center"/>
    </xf>
    <xf numFmtId="0" fontId="122" fillId="2" borderId="2" xfId="0" applyFont="1" applyFill="1" applyBorder="1" applyAlignment="1" applyProtection="1">
      <alignment horizontal="center" vertical="center"/>
      <protection locked="0"/>
    </xf>
    <xf numFmtId="0" fontId="122" fillId="0" borderId="2" xfId="0" applyNumberFormat="1" applyFont="1" applyBorder="1" applyAlignment="1" applyProtection="1">
      <alignment horizontal="center" vertical="center"/>
      <protection locked="0"/>
    </xf>
    <xf numFmtId="0" fontId="81" fillId="0" borderId="2" xfId="0" applyFont="1" applyBorder="1" applyProtection="1">
      <alignment vertical="center"/>
      <protection locked="0"/>
    </xf>
    <xf numFmtId="0" fontId="87" fillId="5" borderId="9" xfId="0" applyFont="1" applyFill="1" applyBorder="1" applyAlignment="1" applyProtection="1">
      <alignment horizontal="center" vertical="center" wrapText="1"/>
    </xf>
    <xf numFmtId="0" fontId="57" fillId="5" borderId="18" xfId="0" applyFont="1" applyFill="1" applyBorder="1" applyAlignment="1" applyProtection="1">
      <alignment horizontal="center" vertical="center" wrapText="1"/>
    </xf>
    <xf numFmtId="0" fontId="80" fillId="5" borderId="59" xfId="0" applyFont="1" applyFill="1" applyBorder="1" applyAlignment="1" applyProtection="1">
      <alignment horizontal="left" vertical="center"/>
    </xf>
    <xf numFmtId="0" fontId="76" fillId="5" borderId="57" xfId="0" applyFont="1" applyFill="1" applyBorder="1" applyAlignment="1" applyProtection="1">
      <alignment horizontal="left" vertical="center"/>
    </xf>
    <xf numFmtId="0" fontId="80" fillId="5" borderId="81" xfId="0" applyFont="1" applyFill="1" applyBorder="1" applyAlignment="1" applyProtection="1">
      <alignment horizontal="right" vertical="center"/>
    </xf>
    <xf numFmtId="180" fontId="80" fillId="2" borderId="12" xfId="0" applyNumberFormat="1" applyFont="1" applyFill="1" applyBorder="1" applyAlignment="1" applyProtection="1">
      <alignment horizontal="center" vertical="center"/>
      <protection locked="0"/>
    </xf>
    <xf numFmtId="0" fontId="76" fillId="5" borderId="11" xfId="0" applyFont="1" applyFill="1" applyBorder="1" applyAlignment="1" applyProtection="1">
      <alignment horizontal="center" vertical="center"/>
    </xf>
    <xf numFmtId="180" fontId="76"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vertical="center"/>
    </xf>
    <xf numFmtId="177" fontId="76" fillId="5" borderId="43" xfId="0" applyNumberFormat="1" applyFont="1" applyFill="1" applyBorder="1" applyAlignment="1" applyProtection="1">
      <alignment vertical="center"/>
    </xf>
    <xf numFmtId="177" fontId="76" fillId="5" borderId="69" xfId="0" applyNumberFormat="1" applyFont="1" applyFill="1" applyBorder="1" applyAlignment="1" applyProtection="1">
      <alignment vertical="center"/>
    </xf>
    <xf numFmtId="0" fontId="76" fillId="5" borderId="82" xfId="0" applyFont="1" applyFill="1" applyBorder="1" applyAlignment="1" applyProtection="1">
      <alignment horizontal="center" vertical="center"/>
    </xf>
    <xf numFmtId="0" fontId="91" fillId="0" borderId="51" xfId="2" applyNumberFormat="1" applyFont="1" applyFill="1" applyBorder="1" applyAlignment="1" applyProtection="1">
      <alignment horizontal="center" vertical="center"/>
      <protection locked="0"/>
    </xf>
    <xf numFmtId="0" fontId="76" fillId="5" borderId="22" xfId="0" applyFont="1" applyFill="1" applyBorder="1" applyAlignment="1" applyProtection="1">
      <alignment horizontal="left" vertical="center" wrapText="1"/>
    </xf>
    <xf numFmtId="0" fontId="81" fillId="6" borderId="37" xfId="0" applyFont="1" applyFill="1" applyBorder="1" applyProtection="1">
      <alignment vertical="center"/>
      <protection locked="0"/>
    </xf>
    <xf numFmtId="0" fontId="76" fillId="0" borderId="38" xfId="0" applyFont="1" applyFill="1" applyBorder="1" applyProtection="1">
      <alignment vertical="center"/>
      <protection locked="0"/>
    </xf>
    <xf numFmtId="0" fontId="80" fillId="0" borderId="44" xfId="0" applyFont="1" applyFill="1" applyBorder="1" applyAlignment="1" applyProtection="1">
      <alignment horizontal="center" vertical="center"/>
      <protection locked="0"/>
    </xf>
    <xf numFmtId="0" fontId="163" fillId="0" borderId="12" xfId="0" applyFont="1" applyFill="1" applyBorder="1" applyAlignment="1" applyProtection="1">
      <alignment vertical="center" wrapText="1"/>
      <protection locked="0"/>
    </xf>
    <xf numFmtId="0" fontId="163" fillId="0" borderId="46" xfId="0" applyFont="1" applyFill="1" applyBorder="1" applyAlignment="1" applyProtection="1">
      <alignment vertical="center" wrapText="1"/>
      <protection locked="0"/>
    </xf>
    <xf numFmtId="10" fontId="81" fillId="5" borderId="5" xfId="0" applyNumberFormat="1" applyFont="1" applyFill="1" applyBorder="1" applyAlignment="1" applyProtection="1">
      <alignment horizontal="left" vertical="center" wrapText="1"/>
    </xf>
    <xf numFmtId="10" fontId="81" fillId="5" borderId="8" xfId="0" applyNumberFormat="1" applyFont="1" applyFill="1" applyBorder="1" applyAlignment="1" applyProtection="1">
      <alignment horizontal="left" vertical="center" wrapText="1"/>
    </xf>
    <xf numFmtId="10" fontId="81" fillId="5" borderId="16" xfId="0" applyNumberFormat="1" applyFont="1" applyFill="1" applyBorder="1" applyAlignment="1" applyProtection="1">
      <alignment horizontal="left" vertical="center" wrapText="1"/>
    </xf>
    <xf numFmtId="0" fontId="81" fillId="5" borderId="5"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81" fillId="5" borderId="8" xfId="0" applyFont="1" applyFill="1" applyBorder="1" applyAlignment="1" applyProtection="1">
      <alignment horizontal="left" vertical="center" wrapText="1"/>
    </xf>
    <xf numFmtId="0" fontId="81"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left" vertical="center" wrapText="1"/>
    </xf>
    <xf numFmtId="0" fontId="100" fillId="5" borderId="6"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xf>
    <xf numFmtId="0" fontId="81" fillId="5" borderId="9" xfId="0" applyFont="1" applyFill="1" applyBorder="1" applyAlignment="1" applyProtection="1">
      <alignment horizontal="center" vertical="center" wrapText="1"/>
    </xf>
    <xf numFmtId="0" fontId="81" fillId="5" borderId="25" xfId="0" applyFont="1" applyFill="1" applyBorder="1" applyAlignment="1" applyProtection="1">
      <alignment horizontal="center" vertical="center"/>
    </xf>
    <xf numFmtId="0" fontId="81" fillId="5" borderId="51" xfId="0" applyFont="1" applyFill="1" applyBorder="1" applyAlignment="1" applyProtection="1">
      <alignment horizontal="center" vertical="center"/>
    </xf>
    <xf numFmtId="0" fontId="81" fillId="5" borderId="16" xfId="0" applyFont="1" applyFill="1" applyBorder="1" applyAlignment="1" applyProtection="1">
      <alignment horizontal="left" vertical="center" wrapText="1"/>
    </xf>
    <xf numFmtId="0" fontId="81" fillId="5" borderId="5" xfId="0" applyFont="1" applyFill="1" applyBorder="1" applyAlignment="1" applyProtection="1">
      <alignment horizontal="center" vertical="center"/>
    </xf>
    <xf numFmtId="0" fontId="81" fillId="5" borderId="8" xfId="0"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0" fontId="81" fillId="5" borderId="0" xfId="0" applyFont="1" applyFill="1" applyBorder="1" applyAlignment="1" applyProtection="1">
      <alignment horizontal="center" vertical="center"/>
    </xf>
    <xf numFmtId="0" fontId="164" fillId="5" borderId="0" xfId="0" applyFont="1" applyFill="1" applyAlignment="1" applyProtection="1">
      <alignment horizontal="center" vertical="center" wrapText="1"/>
    </xf>
    <xf numFmtId="0" fontId="57" fillId="5" borderId="12" xfId="0" applyNumberFormat="1" applyFont="1" applyFill="1" applyBorder="1" applyAlignment="1" applyProtection="1">
      <alignment horizontal="center" vertical="center" wrapText="1"/>
    </xf>
    <xf numFmtId="0" fontId="165" fillId="5" borderId="0" xfId="0" applyFont="1" applyFill="1" applyAlignment="1" applyProtection="1">
      <alignment horizontal="center" vertical="center"/>
    </xf>
    <xf numFmtId="0" fontId="76" fillId="5" borderId="21" xfId="0" applyFont="1" applyFill="1" applyBorder="1" applyAlignment="1" applyProtection="1">
      <alignment horizontal="center" vertical="center" wrapText="1"/>
    </xf>
    <xf numFmtId="0" fontId="104" fillId="0" borderId="11" xfId="0" applyNumberFormat="1" applyFont="1" applyFill="1" applyBorder="1" applyAlignment="1" applyProtection="1">
      <alignment horizontal="center" vertical="center" wrapText="1"/>
      <protection locked="0"/>
    </xf>
    <xf numFmtId="180" fontId="52" fillId="0" borderId="19" xfId="5" applyNumberFormat="1" applyFont="1" applyBorder="1" applyAlignment="1" applyProtection="1">
      <alignment vertical="center"/>
    </xf>
    <xf numFmtId="0" fontId="52" fillId="0" borderId="19" xfId="5" applyNumberFormat="1" applyFont="1" applyBorder="1" applyAlignment="1" applyProtection="1">
      <alignment vertical="center"/>
    </xf>
    <xf numFmtId="0" fontId="150" fillId="0" borderId="0" xfId="5" applyNumberFormat="1" applyProtection="1">
      <alignment vertical="center"/>
    </xf>
    <xf numFmtId="180" fontId="45" fillId="5" borderId="2" xfId="5" applyNumberFormat="1" applyFont="1" applyFill="1" applyBorder="1" applyAlignment="1" applyProtection="1">
      <alignment horizontal="center" vertical="center"/>
    </xf>
    <xf numFmtId="0" fontId="45" fillId="5" borderId="2" xfId="5" applyNumberFormat="1" applyFont="1" applyFill="1" applyBorder="1" applyAlignment="1" applyProtection="1">
      <alignment horizontal="center" vertical="center"/>
    </xf>
    <xf numFmtId="0" fontId="45" fillId="5" borderId="2" xfId="5" applyNumberFormat="1" applyFont="1" applyFill="1" applyBorder="1" applyAlignment="1" applyProtection="1">
      <alignment horizontal="center" vertical="center" wrapText="1"/>
    </xf>
    <xf numFmtId="0" fontId="45" fillId="5" borderId="3" xfId="5" applyNumberFormat="1" applyFont="1" applyFill="1" applyBorder="1" applyAlignment="1" applyProtection="1">
      <alignment horizontal="center" vertical="center"/>
    </xf>
    <xf numFmtId="0" fontId="91" fillId="5" borderId="3" xfId="5" applyNumberFormat="1" applyFont="1" applyFill="1" applyBorder="1" applyAlignment="1" applyProtection="1">
      <alignment horizontal="center" vertical="center" wrapText="1"/>
    </xf>
    <xf numFmtId="0" fontId="91" fillId="5" borderId="27" xfId="5" applyNumberFormat="1" applyFont="1" applyFill="1" applyBorder="1" applyAlignment="1" applyProtection="1">
      <alignment horizontal="center" vertical="center" wrapText="1"/>
    </xf>
    <xf numFmtId="0" fontId="163" fillId="5" borderId="28" xfId="5" applyNumberFormat="1" applyFont="1" applyFill="1" applyBorder="1" applyAlignment="1" applyProtection="1">
      <alignment horizontal="center" vertical="center" wrapText="1"/>
    </xf>
    <xf numFmtId="0" fontId="131" fillId="5" borderId="2" xfId="5" applyNumberFormat="1" applyFont="1" applyFill="1" applyBorder="1" applyAlignment="1" applyProtection="1">
      <alignment horizontal="center" vertical="center" wrapText="1"/>
    </xf>
    <xf numFmtId="0" fontId="166" fillId="5" borderId="2" xfId="5" applyNumberFormat="1" applyFont="1" applyFill="1" applyBorder="1" applyAlignment="1" applyProtection="1">
      <alignment horizontal="center" vertical="center"/>
    </xf>
    <xf numFmtId="0" fontId="167" fillId="5" borderId="2" xfId="5" applyNumberFormat="1" applyFont="1" applyFill="1" applyBorder="1" applyAlignment="1" applyProtection="1">
      <alignment horizontal="center" vertical="center"/>
    </xf>
    <xf numFmtId="0" fontId="150" fillId="0" borderId="0" xfId="5" applyNumberFormat="1" applyFont="1" applyProtection="1">
      <alignment vertical="center"/>
    </xf>
    <xf numFmtId="0" fontId="91" fillId="5" borderId="26" xfId="5" applyNumberFormat="1" applyFont="1" applyFill="1" applyBorder="1" applyAlignment="1" applyProtection="1">
      <alignment vertical="center" wrapText="1"/>
    </xf>
    <xf numFmtId="0" fontId="45" fillId="5" borderId="6" xfId="5" applyNumberFormat="1" applyFont="1" applyFill="1" applyBorder="1" applyAlignment="1" applyProtection="1">
      <alignment horizontal="center" vertical="center"/>
    </xf>
    <xf numFmtId="0" fontId="45" fillId="5" borderId="21" xfId="5" applyNumberFormat="1" applyFont="1" applyFill="1" applyBorder="1" applyAlignment="1" applyProtection="1">
      <alignment horizontal="center" vertical="center"/>
    </xf>
    <xf numFmtId="0" fontId="45" fillId="5" borderId="21" xfId="5" applyNumberFormat="1" applyFont="1" applyFill="1" applyBorder="1" applyAlignment="1" applyProtection="1">
      <alignment horizontal="center" vertical="center" wrapText="1"/>
    </xf>
    <xf numFmtId="0" fontId="45" fillId="5" borderId="27" xfId="5" applyNumberFormat="1" applyFont="1" applyFill="1" applyBorder="1" applyAlignment="1" applyProtection="1">
      <alignment horizontal="center" vertical="center"/>
    </xf>
    <xf numFmtId="0" fontId="45" fillId="5" borderId="41" xfId="5" applyNumberFormat="1" applyFont="1" applyFill="1" applyBorder="1" applyAlignment="1" applyProtection="1">
      <alignment horizontal="center" vertical="center"/>
    </xf>
    <xf numFmtId="0" fontId="91" fillId="5" borderId="11" xfId="5" applyNumberFormat="1" applyFont="1" applyFill="1" applyBorder="1" applyAlignment="1" applyProtection="1">
      <alignment horizontal="center" vertical="center" wrapText="1"/>
    </xf>
    <xf numFmtId="0" fontId="163" fillId="5" borderId="2" xfId="5" applyNumberFormat="1" applyFont="1" applyFill="1" applyBorder="1" applyAlignment="1" applyProtection="1">
      <alignment horizontal="center" vertical="center" wrapText="1"/>
    </xf>
    <xf numFmtId="0" fontId="163" fillId="5" borderId="12" xfId="5" applyNumberFormat="1" applyFont="1" applyFill="1" applyBorder="1" applyAlignment="1" applyProtection="1">
      <alignment horizontal="center" vertical="center" wrapText="1"/>
    </xf>
    <xf numFmtId="0" fontId="131" fillId="5" borderId="11" xfId="5" applyNumberFormat="1" applyFont="1" applyFill="1" applyBorder="1" applyAlignment="1" applyProtection="1">
      <alignment horizontal="center" vertical="center" wrapText="1"/>
    </xf>
    <xf numFmtId="0" fontId="91" fillId="5" borderId="43" xfId="5" applyNumberFormat="1" applyFont="1" applyFill="1" applyBorder="1" applyAlignment="1" applyProtection="1">
      <alignment horizontal="center" vertical="center" wrapText="1"/>
    </xf>
    <xf numFmtId="0" fontId="163" fillId="5" borderId="44" xfId="5" applyNumberFormat="1" applyFont="1" applyFill="1" applyBorder="1" applyAlignment="1" applyProtection="1">
      <alignment horizontal="center" vertical="center" wrapText="1"/>
    </xf>
    <xf numFmtId="0" fontId="163" fillId="5" borderId="46" xfId="5" applyNumberFormat="1" applyFont="1" applyFill="1" applyBorder="1" applyAlignment="1" applyProtection="1">
      <alignment horizontal="center" vertical="center" wrapText="1"/>
    </xf>
    <xf numFmtId="180" fontId="45" fillId="5" borderId="2" xfId="5" applyNumberFormat="1" applyFont="1" applyFill="1" applyBorder="1" applyAlignment="1" applyProtection="1">
      <alignment horizontal="center" vertical="center" wrapText="1"/>
    </xf>
    <xf numFmtId="180" fontId="150" fillId="0" borderId="0" xfId="5" applyNumberFormat="1" applyProtection="1">
      <alignment vertical="center"/>
    </xf>
    <xf numFmtId="0" fontId="102" fillId="5" borderId="10" xfId="3" applyFont="1" applyFill="1" applyBorder="1" applyAlignment="1" applyProtection="1">
      <alignment horizontal="right" vertical="center"/>
    </xf>
    <xf numFmtId="180" fontId="89" fillId="5" borderId="2" xfId="3" applyNumberFormat="1" applyFont="1" applyFill="1" applyBorder="1" applyAlignment="1" applyProtection="1">
      <alignment horizontal="center" vertical="center" wrapText="1"/>
    </xf>
    <xf numFmtId="178" fontId="89" fillId="0" borderId="2" xfId="3" applyNumberFormat="1" applyFont="1" applyFill="1" applyBorder="1" applyAlignment="1" applyProtection="1">
      <alignment horizontal="center" vertical="center" wrapText="1"/>
      <protection locked="0"/>
    </xf>
    <xf numFmtId="0" fontId="88" fillId="5" borderId="14" xfId="3" applyFont="1" applyFill="1" applyBorder="1" applyAlignment="1" applyProtection="1">
      <alignment horizontal="center" vertical="center"/>
    </xf>
    <xf numFmtId="0" fontId="100" fillId="5" borderId="49" xfId="3" applyFont="1" applyFill="1" applyBorder="1" applyAlignment="1" applyProtection="1">
      <alignment horizontal="center" vertical="center"/>
    </xf>
    <xf numFmtId="0" fontId="100" fillId="5" borderId="29" xfId="3" applyNumberFormat="1" applyFont="1" applyFill="1" applyBorder="1" applyAlignment="1" applyProtection="1">
      <alignment horizontal="center" vertical="center" wrapText="1"/>
    </xf>
    <xf numFmtId="0" fontId="91" fillId="0" borderId="6" xfId="3" applyFont="1" applyFill="1" applyBorder="1" applyAlignment="1" applyProtection="1">
      <alignment horizontal="center" vertical="center" wrapText="1"/>
      <protection locked="0"/>
    </xf>
    <xf numFmtId="0" fontId="91" fillId="5" borderId="21" xfId="3" applyFont="1" applyFill="1" applyBorder="1" applyAlignment="1" applyProtection="1">
      <alignment horizontal="center" vertical="center" wrapText="1"/>
    </xf>
    <xf numFmtId="0" fontId="91" fillId="5" borderId="17" xfId="3" applyFont="1" applyFill="1" applyBorder="1" applyAlignment="1" applyProtection="1">
      <alignment horizontal="center" vertical="center" wrapText="1"/>
    </xf>
    <xf numFmtId="9" fontId="91" fillId="5" borderId="2"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10" xfId="3" applyFont="1" applyFill="1" applyBorder="1" applyAlignment="1" applyProtection="1">
      <alignment horizontal="center" vertical="center" wrapText="1"/>
    </xf>
    <xf numFmtId="0" fontId="168" fillId="6" borderId="2" xfId="3" applyFont="1" applyFill="1" applyBorder="1" applyAlignment="1" applyProtection="1">
      <alignment horizontal="center" vertical="center" wrapText="1"/>
      <protection locked="0"/>
    </xf>
    <xf numFmtId="0" fontId="91" fillId="5" borderId="44" xfId="3" applyFont="1" applyFill="1" applyBorder="1" applyAlignment="1" applyProtection="1">
      <alignment horizontal="center" vertical="center" wrapText="1"/>
    </xf>
    <xf numFmtId="0" fontId="100" fillId="5" borderId="6" xfId="3" applyFont="1" applyFill="1" applyBorder="1" applyAlignment="1" applyProtection="1">
      <alignment horizontal="center" vertical="center" wrapText="1"/>
    </xf>
    <xf numFmtId="186" fontId="88" fillId="5" borderId="83" xfId="3" applyNumberFormat="1" applyFont="1" applyFill="1" applyBorder="1" applyAlignment="1" applyProtection="1">
      <alignment horizontal="center" vertical="center" wrapText="1"/>
    </xf>
    <xf numFmtId="14" fontId="89" fillId="5" borderId="83" xfId="3" applyNumberFormat="1" applyFont="1" applyFill="1" applyBorder="1" applyAlignment="1" applyProtection="1">
      <alignment horizontal="center" vertical="center" wrapText="1"/>
    </xf>
    <xf numFmtId="14" fontId="89" fillId="5" borderId="37" xfId="3" applyNumberFormat="1" applyFont="1" applyFill="1" applyBorder="1" applyAlignment="1" applyProtection="1">
      <alignment horizontal="center" vertical="center" wrapText="1"/>
    </xf>
    <xf numFmtId="0" fontId="89" fillId="5" borderId="2" xfId="3" applyFont="1" applyFill="1" applyBorder="1" applyAlignment="1" applyProtection="1">
      <alignment horizontal="center" vertical="center" wrapText="1"/>
    </xf>
    <xf numFmtId="0" fontId="88" fillId="5" borderId="21" xfId="3" applyFont="1" applyFill="1" applyBorder="1" applyAlignment="1" applyProtection="1">
      <alignment horizontal="center" vertical="center" wrapText="1"/>
    </xf>
    <xf numFmtId="186" fontId="88" fillId="5" borderId="10" xfId="3" applyNumberFormat="1" applyFont="1" applyFill="1" applyBorder="1" applyAlignment="1" applyProtection="1">
      <alignment horizontal="center" vertical="center" wrapText="1"/>
    </xf>
    <xf numFmtId="0" fontId="100" fillId="5" borderId="2" xfId="3" applyFont="1" applyFill="1" applyBorder="1" applyAlignment="1" applyProtection="1">
      <alignment horizontal="center" vertical="center" wrapText="1"/>
    </xf>
    <xf numFmtId="0" fontId="100" fillId="5" borderId="3" xfId="3" applyFont="1" applyFill="1" applyBorder="1" applyAlignment="1" applyProtection="1">
      <alignment horizontal="center" vertical="center" wrapText="1"/>
    </xf>
    <xf numFmtId="0" fontId="100" fillId="5" borderId="44" xfId="3" applyFont="1" applyFill="1" applyBorder="1" applyAlignment="1" applyProtection="1">
      <alignment horizontal="center" vertical="center" wrapText="1"/>
    </xf>
    <xf numFmtId="0" fontId="150" fillId="5" borderId="0" xfId="3" applyFill="1" applyProtection="1">
      <alignment vertical="center"/>
    </xf>
    <xf numFmtId="0" fontId="169" fillId="5" borderId="11" xfId="3" applyFont="1" applyFill="1" applyBorder="1" applyAlignment="1" applyProtection="1">
      <alignment horizontal="center" vertical="center" wrapText="1"/>
    </xf>
    <xf numFmtId="0" fontId="169" fillId="5" borderId="2" xfId="3" applyFont="1" applyFill="1" applyBorder="1" applyAlignment="1" applyProtection="1">
      <alignment horizontal="center" vertical="center" wrapText="1"/>
    </xf>
    <xf numFmtId="0" fontId="150" fillId="5" borderId="31" xfId="3" applyFill="1" applyBorder="1" applyProtection="1">
      <alignment vertical="center"/>
    </xf>
    <xf numFmtId="0" fontId="151" fillId="5" borderId="0" xfId="3" applyFont="1" applyFill="1" applyProtection="1">
      <alignment vertical="center"/>
    </xf>
    <xf numFmtId="0" fontId="150" fillId="5" borderId="53" xfId="3" applyFill="1" applyBorder="1" applyAlignment="1" applyProtection="1">
      <alignment horizontal="center" vertical="center"/>
    </xf>
    <xf numFmtId="0" fontId="150" fillId="5" borderId="27" xfId="3" applyFill="1" applyBorder="1" applyAlignment="1" applyProtection="1">
      <alignment horizontal="center" vertical="center"/>
    </xf>
    <xf numFmtId="0" fontId="150" fillId="5" borderId="41" xfId="3" applyFill="1" applyBorder="1" applyAlignment="1" applyProtection="1">
      <alignment horizontal="center" vertical="center"/>
    </xf>
    <xf numFmtId="0" fontId="170" fillId="5" borderId="11" xfId="3" applyFont="1" applyFill="1" applyBorder="1" applyAlignment="1" applyProtection="1">
      <alignment horizontal="center" vertical="center" wrapText="1"/>
    </xf>
    <xf numFmtId="0" fontId="170" fillId="5" borderId="2" xfId="3" applyFont="1" applyFill="1" applyBorder="1" applyAlignment="1" applyProtection="1">
      <alignment horizontal="center" vertical="center" wrapText="1"/>
    </xf>
    <xf numFmtId="0" fontId="151" fillId="5" borderId="28" xfId="3" applyFont="1" applyFill="1" applyBorder="1" applyProtection="1">
      <alignment vertical="center"/>
    </xf>
    <xf numFmtId="0" fontId="171" fillId="5" borderId="29" xfId="3" applyFont="1" applyFill="1" applyBorder="1" applyAlignment="1" applyProtection="1">
      <alignment horizontal="center" vertical="center"/>
    </xf>
    <xf numFmtId="0" fontId="151" fillId="5" borderId="31" xfId="3" applyFont="1" applyFill="1" applyBorder="1" applyProtection="1">
      <alignment vertical="center"/>
    </xf>
    <xf numFmtId="0" fontId="171" fillId="5" borderId="44" xfId="3" applyFont="1" applyFill="1" applyBorder="1" applyAlignment="1" applyProtection="1">
      <alignment horizontal="center" vertical="center"/>
    </xf>
    <xf numFmtId="0" fontId="171" fillId="5" borderId="45" xfId="3" applyFont="1" applyFill="1" applyBorder="1" applyAlignment="1" applyProtection="1">
      <alignment horizontal="center" vertical="center"/>
    </xf>
    <xf numFmtId="0" fontId="170" fillId="5" borderId="53" xfId="3" applyFont="1" applyFill="1" applyBorder="1" applyAlignment="1" applyProtection="1">
      <alignment vertical="center" wrapText="1"/>
    </xf>
    <xf numFmtId="0" fontId="170" fillId="5" borderId="6" xfId="3" applyFont="1" applyFill="1" applyBorder="1" applyAlignment="1" applyProtection="1">
      <alignment horizontal="center" vertical="center" wrapText="1"/>
    </xf>
    <xf numFmtId="0" fontId="170" fillId="5" borderId="29" xfId="3" applyFont="1" applyFill="1" applyBorder="1" applyAlignment="1" applyProtection="1">
      <alignment horizontal="center" vertical="center" wrapText="1"/>
    </xf>
    <xf numFmtId="0" fontId="152" fillId="5" borderId="1" xfId="3" applyFont="1" applyFill="1" applyBorder="1" applyAlignment="1" applyProtection="1">
      <alignment horizontal="center" vertical="center"/>
    </xf>
    <xf numFmtId="0" fontId="152" fillId="5" borderId="29" xfId="3" applyFont="1" applyFill="1" applyBorder="1" applyProtection="1">
      <alignment vertical="center"/>
    </xf>
    <xf numFmtId="0" fontId="170" fillId="5" borderId="17" xfId="3" applyFont="1" applyFill="1" applyBorder="1" applyAlignment="1" applyProtection="1">
      <alignment horizontal="center" vertical="center" wrapText="1"/>
    </xf>
    <xf numFmtId="0" fontId="152" fillId="5" borderId="11" xfId="3" applyFont="1" applyFill="1" applyBorder="1" applyAlignment="1" applyProtection="1">
      <alignment horizontal="center" vertical="center"/>
    </xf>
    <xf numFmtId="0" fontId="152" fillId="5" borderId="5" xfId="3" applyFont="1" applyFill="1" applyBorder="1" applyProtection="1">
      <alignment vertical="center"/>
    </xf>
    <xf numFmtId="0" fontId="170" fillId="5" borderId="21" xfId="3" applyFont="1" applyFill="1" applyBorder="1" applyAlignment="1" applyProtection="1">
      <alignment horizontal="center" vertical="center" wrapText="1"/>
    </xf>
    <xf numFmtId="0" fontId="170" fillId="5" borderId="55" xfId="3" applyFont="1" applyFill="1" applyBorder="1" applyAlignment="1" applyProtection="1">
      <alignment horizontal="center" vertical="center" wrapText="1"/>
    </xf>
    <xf numFmtId="0" fontId="170" fillId="5" borderId="44" xfId="3" applyFont="1" applyFill="1" applyBorder="1" applyAlignment="1" applyProtection="1">
      <alignment horizontal="center" vertical="center" wrapText="1"/>
    </xf>
    <xf numFmtId="0" fontId="165" fillId="5" borderId="45" xfId="3" applyFont="1" applyFill="1" applyBorder="1" applyProtection="1">
      <alignment vertical="center"/>
    </xf>
    <xf numFmtId="0" fontId="170" fillId="5" borderId="5" xfId="3" applyFont="1" applyFill="1" applyBorder="1" applyAlignment="1" applyProtection="1">
      <alignment horizontal="center" vertical="center" wrapText="1"/>
    </xf>
    <xf numFmtId="0" fontId="152" fillId="5" borderId="43" xfId="3" applyFont="1" applyFill="1" applyBorder="1" applyAlignment="1" applyProtection="1">
      <alignment horizontal="center" vertical="center"/>
    </xf>
    <xf numFmtId="0" fontId="152" fillId="5" borderId="45" xfId="3" applyFont="1" applyFill="1" applyBorder="1" applyProtection="1">
      <alignment vertical="center"/>
    </xf>
    <xf numFmtId="0" fontId="165" fillId="5" borderId="5" xfId="3" applyFont="1" applyFill="1" applyBorder="1" applyProtection="1">
      <alignment vertical="center"/>
    </xf>
    <xf numFmtId="0" fontId="172" fillId="5" borderId="0" xfId="3" applyFont="1" applyFill="1" applyBorder="1" applyProtection="1">
      <alignment vertical="center"/>
    </xf>
    <xf numFmtId="0" fontId="170" fillId="5" borderId="33" xfId="3" applyFont="1" applyFill="1" applyBorder="1" applyAlignment="1" applyProtection="1">
      <alignment vertical="center" wrapText="1"/>
    </xf>
    <xf numFmtId="0" fontId="173" fillId="5" borderId="0" xfId="3" applyFont="1" applyFill="1" applyProtection="1">
      <alignment vertical="center"/>
    </xf>
    <xf numFmtId="0" fontId="172" fillId="5" borderId="0" xfId="3" applyFont="1" applyFill="1" applyProtection="1">
      <alignment vertical="center"/>
    </xf>
    <xf numFmtId="0" fontId="170" fillId="5" borderId="45" xfId="3" applyFont="1" applyFill="1" applyBorder="1" applyAlignment="1" applyProtection="1">
      <alignment horizontal="center" vertical="center" wrapText="1"/>
    </xf>
    <xf numFmtId="0" fontId="150" fillId="5" borderId="5" xfId="3" applyFill="1" applyBorder="1" applyProtection="1">
      <alignment vertical="center"/>
    </xf>
    <xf numFmtId="0" fontId="150" fillId="5" borderId="2" xfId="3" applyFill="1" applyBorder="1" applyProtection="1">
      <alignment vertical="center"/>
    </xf>
    <xf numFmtId="0" fontId="150" fillId="5" borderId="29" xfId="3" applyFill="1" applyBorder="1" applyProtection="1">
      <alignment vertical="center"/>
    </xf>
    <xf numFmtId="0" fontId="150" fillId="5" borderId="0" xfId="3" applyFill="1" applyAlignment="1" applyProtection="1">
      <alignment horizontal="center" vertical="center"/>
    </xf>
    <xf numFmtId="0" fontId="150" fillId="5" borderId="53" xfId="3" applyFill="1" applyBorder="1" applyAlignment="1" applyProtection="1">
      <alignment horizontal="right" vertical="center"/>
    </xf>
    <xf numFmtId="0" fontId="150" fillId="5" borderId="1" xfId="3" applyFill="1" applyBorder="1" applyAlignment="1" applyProtection="1">
      <alignment horizontal="center" vertical="center"/>
    </xf>
    <xf numFmtId="179" fontId="150" fillId="5" borderId="6" xfId="3" applyNumberFormat="1" applyFill="1" applyBorder="1" applyAlignment="1" applyProtection="1">
      <alignment horizontal="center" vertical="center"/>
    </xf>
    <xf numFmtId="179" fontId="150" fillId="5" borderId="29" xfId="3" applyNumberFormat="1" applyFill="1" applyBorder="1" applyAlignment="1" applyProtection="1">
      <alignment horizontal="center" vertical="center"/>
    </xf>
    <xf numFmtId="179" fontId="150" fillId="5" borderId="7" xfId="3" applyNumberFormat="1" applyFill="1" applyBorder="1" applyAlignment="1" applyProtection="1">
      <alignment horizontal="center" vertical="center"/>
    </xf>
    <xf numFmtId="0" fontId="150" fillId="5" borderId="11" xfId="3" applyFill="1" applyBorder="1" applyAlignment="1" applyProtection="1">
      <alignment horizontal="center" vertical="center"/>
    </xf>
    <xf numFmtId="179" fontId="150" fillId="5" borderId="2" xfId="3" applyNumberFormat="1" applyFill="1" applyBorder="1" applyAlignment="1" applyProtection="1">
      <alignment horizontal="center" vertical="center"/>
    </xf>
    <xf numFmtId="179" fontId="150" fillId="5" borderId="5" xfId="3" applyNumberFormat="1" applyFill="1" applyBorder="1" applyAlignment="1" applyProtection="1">
      <alignment horizontal="center" vertical="center"/>
    </xf>
    <xf numFmtId="179" fontId="150" fillId="5" borderId="12" xfId="3" applyNumberFormat="1" applyFill="1" applyBorder="1" applyAlignment="1" applyProtection="1">
      <alignment horizontal="center" vertical="center"/>
    </xf>
    <xf numFmtId="0" fontId="150" fillId="5" borderId="43" xfId="3" applyFill="1" applyBorder="1" applyAlignment="1" applyProtection="1">
      <alignment horizontal="center" vertical="center"/>
    </xf>
    <xf numFmtId="179" fontId="150" fillId="5" borderId="45" xfId="3" applyNumberFormat="1" applyFill="1" applyBorder="1" applyAlignment="1" applyProtection="1">
      <alignment horizontal="center" vertical="center"/>
    </xf>
    <xf numFmtId="179" fontId="150" fillId="5" borderId="44" xfId="3" applyNumberFormat="1" applyFill="1" applyBorder="1" applyAlignment="1" applyProtection="1">
      <alignment horizontal="center" vertical="center"/>
    </xf>
    <xf numFmtId="179" fontId="150" fillId="5" borderId="46" xfId="3" applyNumberFormat="1" applyFill="1" applyBorder="1" applyAlignment="1" applyProtection="1">
      <alignment horizontal="center" vertical="center"/>
    </xf>
    <xf numFmtId="0" fontId="169" fillId="5" borderId="1" xfId="3" applyFont="1" applyFill="1" applyBorder="1" applyAlignment="1" applyProtection="1">
      <alignment horizontal="center" vertical="center" wrapText="1"/>
    </xf>
    <xf numFmtId="0" fontId="169" fillId="5" borderId="6" xfId="3" applyFont="1" applyFill="1" applyBorder="1" applyAlignment="1" applyProtection="1">
      <alignment horizontal="center" vertical="center" wrapText="1"/>
    </xf>
    <xf numFmtId="0" fontId="169" fillId="5" borderId="7" xfId="3" applyFont="1" applyFill="1" applyBorder="1" applyAlignment="1" applyProtection="1">
      <alignment horizontal="center" vertical="center" wrapText="1"/>
    </xf>
    <xf numFmtId="0" fontId="169" fillId="5" borderId="12" xfId="3" applyFont="1" applyFill="1" applyBorder="1" applyAlignment="1" applyProtection="1">
      <alignment horizontal="center" vertical="center" wrapText="1"/>
    </xf>
    <xf numFmtId="0" fontId="169" fillId="5" borderId="22" xfId="3" applyFont="1" applyFill="1" applyBorder="1" applyAlignment="1" applyProtection="1">
      <alignment horizontal="center" vertical="center" wrapText="1"/>
    </xf>
    <xf numFmtId="0" fontId="169" fillId="5" borderId="25" xfId="3" applyFont="1" applyFill="1" applyBorder="1" applyAlignment="1" applyProtection="1">
      <alignment horizontal="center" vertical="center" wrapText="1"/>
    </xf>
    <xf numFmtId="0" fontId="150" fillId="5" borderId="2" xfId="3" applyFill="1" applyBorder="1" applyAlignment="1" applyProtection="1">
      <alignment horizontal="center" vertical="center"/>
    </xf>
    <xf numFmtId="0" fontId="174" fillId="5" borderId="19" xfId="3" applyFont="1" applyFill="1" applyBorder="1" applyAlignment="1" applyProtection="1">
      <alignment vertical="center"/>
    </xf>
    <xf numFmtId="0" fontId="174" fillId="5" borderId="0" xfId="3" applyFont="1" applyFill="1" applyBorder="1" applyAlignment="1" applyProtection="1">
      <alignment vertical="center"/>
    </xf>
    <xf numFmtId="0" fontId="169" fillId="5" borderId="5" xfId="3" applyFont="1" applyFill="1" applyBorder="1" applyAlignment="1" applyProtection="1">
      <alignment horizontal="center" vertical="center" wrapText="1"/>
    </xf>
    <xf numFmtId="0" fontId="169" fillId="5" borderId="9" xfId="3" applyFont="1" applyFill="1" applyBorder="1" applyAlignment="1" applyProtection="1">
      <alignment horizontal="center" vertical="center" wrapText="1"/>
    </xf>
    <xf numFmtId="0" fontId="169" fillId="5" borderId="0" xfId="3" applyFont="1" applyFill="1" applyBorder="1" applyAlignment="1" applyProtection="1">
      <alignment horizontal="center" vertical="center" wrapText="1"/>
    </xf>
    <xf numFmtId="0" fontId="169" fillId="5" borderId="5" xfId="3" applyFont="1" applyFill="1" applyBorder="1" applyAlignment="1" applyProtection="1">
      <alignment horizontal="left" vertical="center"/>
    </xf>
    <xf numFmtId="0" fontId="169" fillId="5" borderId="9" xfId="3" applyFont="1" applyFill="1" applyBorder="1" applyAlignment="1" applyProtection="1">
      <alignment horizontal="left" vertical="center"/>
    </xf>
    <xf numFmtId="0" fontId="169" fillId="5" borderId="0" xfId="3" applyFont="1" applyFill="1" applyBorder="1" applyAlignment="1" applyProtection="1">
      <alignment vertical="center"/>
    </xf>
    <xf numFmtId="0" fontId="169" fillId="5" borderId="0" xfId="3" applyFont="1" applyFill="1" applyBorder="1" applyAlignment="1" applyProtection="1">
      <alignment horizontal="center" vertical="center"/>
    </xf>
    <xf numFmtId="0" fontId="169" fillId="5" borderId="17" xfId="3" applyFont="1" applyFill="1" applyBorder="1" applyAlignment="1" applyProtection="1">
      <alignment vertical="center" wrapText="1"/>
    </xf>
    <xf numFmtId="0" fontId="169" fillId="5" borderId="21" xfId="3" applyFont="1" applyFill="1" applyBorder="1" applyAlignment="1" applyProtection="1">
      <alignment vertical="center" wrapText="1"/>
    </xf>
    <xf numFmtId="0" fontId="169" fillId="5" borderId="20" xfId="3" applyFont="1" applyFill="1" applyBorder="1" applyAlignment="1" applyProtection="1">
      <alignment vertical="center" wrapText="1"/>
    </xf>
    <xf numFmtId="0" fontId="169" fillId="5" borderId="0" xfId="3" applyFont="1" applyFill="1" applyAlignment="1" applyProtection="1">
      <alignment horizontal="center" vertical="center"/>
    </xf>
    <xf numFmtId="9" fontId="169" fillId="5" borderId="2" xfId="3" applyNumberFormat="1" applyFont="1" applyFill="1" applyBorder="1" applyAlignment="1" applyProtection="1">
      <alignment horizontal="center" vertical="center"/>
    </xf>
    <xf numFmtId="0" fontId="169" fillId="5" borderId="5" xfId="3" applyFont="1" applyFill="1" applyBorder="1" applyAlignment="1" applyProtection="1">
      <alignment vertical="center"/>
    </xf>
    <xf numFmtId="0" fontId="169" fillId="5" borderId="8" xfId="3" applyFont="1" applyFill="1" applyBorder="1" applyAlignment="1" applyProtection="1">
      <alignment vertical="center"/>
    </xf>
    <xf numFmtId="0" fontId="169" fillId="5" borderId="9" xfId="3" applyFont="1" applyFill="1" applyBorder="1" applyAlignment="1" applyProtection="1">
      <alignment vertical="center"/>
    </xf>
    <xf numFmtId="185"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xf>
    <xf numFmtId="178" fontId="175" fillId="5" borderId="2" xfId="3" applyNumberFormat="1" applyFont="1" applyFill="1" applyBorder="1" applyAlignment="1" applyProtection="1">
      <alignment horizontal="center" vertical="center"/>
    </xf>
    <xf numFmtId="186" fontId="175" fillId="5" borderId="2" xfId="3" applyNumberFormat="1" applyFont="1" applyFill="1" applyBorder="1" applyAlignment="1" applyProtection="1">
      <alignment horizontal="center" vertical="center" wrapText="1"/>
    </xf>
    <xf numFmtId="185" fontId="169" fillId="5" borderId="21" xfId="3" applyNumberFormat="1" applyFont="1" applyFill="1" applyBorder="1" applyAlignment="1" applyProtection="1">
      <alignment horizontal="center" vertical="center" wrapText="1"/>
    </xf>
    <xf numFmtId="180" fontId="175" fillId="5" borderId="2" xfId="3" applyNumberFormat="1" applyFont="1" applyFill="1" applyBorder="1" applyAlignment="1" applyProtection="1">
      <alignment horizontal="center" vertical="center"/>
    </xf>
    <xf numFmtId="0" fontId="57" fillId="0" borderId="2" xfId="0" applyFont="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6" fillId="5" borderId="2" xfId="0" applyFont="1" applyFill="1" applyBorder="1" applyAlignment="1" applyProtection="1">
      <alignment horizontal="center" vertical="center" wrapText="1"/>
    </xf>
    <xf numFmtId="0" fontId="169" fillId="5" borderId="21" xfId="3" applyFont="1" applyFill="1" applyBorder="1" applyAlignment="1" applyProtection="1">
      <alignment horizontal="center" vertical="center"/>
    </xf>
    <xf numFmtId="0" fontId="169" fillId="5" borderId="10" xfId="3" applyFont="1" applyFill="1" applyBorder="1" applyAlignment="1" applyProtection="1">
      <alignment horizontal="center" vertical="center" wrapText="1"/>
    </xf>
    <xf numFmtId="0" fontId="169" fillId="5" borderId="2" xfId="3" applyFont="1" applyFill="1" applyBorder="1" applyAlignment="1" applyProtection="1">
      <alignment horizontal="center" vertical="center"/>
    </xf>
    <xf numFmtId="0" fontId="174" fillId="5" borderId="0" xfId="3" applyFont="1" applyFill="1" applyAlignment="1" applyProtection="1">
      <alignment horizontal="center" vertical="center"/>
    </xf>
    <xf numFmtId="0" fontId="22" fillId="5" borderId="5" xfId="0" applyFont="1" applyFill="1" applyBorder="1" applyProtection="1">
      <alignment vertical="center"/>
    </xf>
    <xf numFmtId="0" fontId="22" fillId="5" borderId="9" xfId="0" applyFont="1" applyFill="1" applyBorder="1" applyProtection="1">
      <alignment vertical="center"/>
    </xf>
    <xf numFmtId="0" fontId="89" fillId="5" borderId="21" xfId="3" applyFont="1" applyFill="1" applyBorder="1" applyAlignment="1" applyProtection="1">
      <alignment horizontal="center" vertical="center" wrapText="1"/>
    </xf>
    <xf numFmtId="0" fontId="168" fillId="6" borderId="2" xfId="0" applyFont="1" applyFill="1" applyBorder="1" applyAlignment="1" applyProtection="1">
      <alignment horizontal="center" vertical="center" wrapText="1"/>
      <protection locked="0"/>
    </xf>
    <xf numFmtId="0" fontId="155" fillId="0" borderId="0" xfId="0" applyFont="1" applyProtection="1">
      <alignment vertical="center"/>
    </xf>
    <xf numFmtId="0" fontId="176" fillId="0" borderId="0" xfId="0" applyFont="1" applyProtection="1">
      <alignment vertical="center"/>
    </xf>
    <xf numFmtId="0" fontId="75" fillId="0" borderId="2" xfId="0" applyFont="1" applyBorder="1" applyAlignment="1" applyProtection="1">
      <alignment horizontal="center" vertical="center" wrapText="1"/>
    </xf>
    <xf numFmtId="0" fontId="154" fillId="0" borderId="0" xfId="0" applyFont="1" applyProtection="1">
      <alignment vertical="center"/>
    </xf>
    <xf numFmtId="0" fontId="154" fillId="0" borderId="0" xfId="0" applyFont="1" applyAlignment="1" applyProtection="1">
      <alignment horizontal="left" vertical="center"/>
    </xf>
    <xf numFmtId="0" fontId="75" fillId="0" borderId="0" xfId="0" applyFont="1" applyProtection="1">
      <alignment vertical="center"/>
    </xf>
    <xf numFmtId="0" fontId="75" fillId="2" borderId="2" xfId="0"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7" fillId="4" borderId="2" xfId="0" applyFont="1" applyFill="1" applyBorder="1" applyAlignment="1" applyProtection="1">
      <alignment horizontal="center" vertical="center"/>
    </xf>
    <xf numFmtId="0" fontId="78" fillId="0" borderId="2" xfId="0" applyFont="1" applyFill="1" applyBorder="1" applyAlignment="1" applyProtection="1">
      <alignment horizontal="center" vertical="center"/>
    </xf>
    <xf numFmtId="0" fontId="57" fillId="0" borderId="0" xfId="0" applyFont="1" applyProtection="1">
      <alignment vertical="center"/>
    </xf>
    <xf numFmtId="0" fontId="159" fillId="0" borderId="2" xfId="0" applyFont="1" applyBorder="1" applyAlignment="1" applyProtection="1">
      <alignment horizontal="center" vertical="center"/>
    </xf>
    <xf numFmtId="0" fontId="154" fillId="0" borderId="2" xfId="0" applyFont="1" applyBorder="1" applyAlignment="1" applyProtection="1">
      <alignment horizontal="left" vertical="center"/>
    </xf>
    <xf numFmtId="0" fontId="154" fillId="7" borderId="5" xfId="0" applyFont="1" applyFill="1" applyBorder="1" applyAlignment="1" applyProtection="1">
      <alignment vertical="center"/>
    </xf>
    <xf numFmtId="0" fontId="154" fillId="0" borderId="8" xfId="0" applyFont="1" applyBorder="1" applyAlignment="1" applyProtection="1">
      <alignment vertical="center"/>
    </xf>
    <xf numFmtId="0" fontId="154" fillId="0" borderId="9" xfId="0" applyFont="1" applyBorder="1" applyAlignment="1" applyProtection="1">
      <alignment vertical="center"/>
    </xf>
    <xf numFmtId="0" fontId="57" fillId="0" borderId="2" xfId="0" applyFont="1" applyBorder="1" applyAlignment="1" applyProtection="1">
      <alignment horizontal="left" vertical="center"/>
    </xf>
    <xf numFmtId="0" fontId="177" fillId="0" borderId="0" xfId="0" applyFont="1" applyProtection="1">
      <alignment vertical="center"/>
    </xf>
    <xf numFmtId="0" fontId="76" fillId="0" borderId="0" xfId="0" applyFont="1" applyAlignment="1" applyProtection="1">
      <alignment horizontal="left" vertical="center"/>
    </xf>
    <xf numFmtId="0" fontId="79" fillId="0" borderId="0" xfId="0" applyFont="1" applyAlignment="1" applyProtection="1">
      <alignment horizontal="left" vertical="center"/>
    </xf>
    <xf numFmtId="177" fontId="76" fillId="0" borderId="0" xfId="0" applyNumberFormat="1" applyFont="1" applyAlignment="1" applyProtection="1">
      <alignment horizontal="left" vertical="center"/>
    </xf>
    <xf numFmtId="0" fontId="154" fillId="0" borderId="3" xfId="0" applyFont="1" applyBorder="1" applyAlignment="1" applyProtection="1">
      <alignment vertical="center"/>
    </xf>
    <xf numFmtId="0" fontId="172" fillId="0" borderId="3" xfId="0" applyFont="1" applyBorder="1" applyAlignment="1" applyProtection="1">
      <alignment vertical="center"/>
    </xf>
    <xf numFmtId="0" fontId="172" fillId="0" borderId="21" xfId="0" applyFont="1" applyBorder="1" applyAlignment="1" applyProtection="1">
      <alignment vertical="center"/>
    </xf>
    <xf numFmtId="0" fontId="154" fillId="0" borderId="0" xfId="0" applyFont="1" applyAlignment="1" applyProtection="1">
      <alignment horizontal="center" vertical="center" wrapText="1"/>
    </xf>
    <xf numFmtId="0" fontId="154" fillId="0" borderId="0" xfId="0" applyFont="1" applyBorder="1" applyAlignment="1" applyProtection="1">
      <alignment horizontal="center" vertical="center"/>
    </xf>
    <xf numFmtId="0" fontId="81" fillId="5" borderId="2"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left" vertical="center"/>
      <protection locked="0"/>
    </xf>
    <xf numFmtId="0" fontId="81" fillId="5" borderId="5" xfId="0" applyFont="1" applyFill="1" applyBorder="1" applyAlignment="1" applyProtection="1">
      <alignment horizontal="center" vertical="center"/>
      <protection locked="0"/>
    </xf>
    <xf numFmtId="0" fontId="81" fillId="5" borderId="9" xfId="0" applyFont="1" applyFill="1" applyBorder="1" applyAlignment="1" applyProtection="1">
      <alignment horizontal="left" vertical="center"/>
      <protection locked="0"/>
    </xf>
    <xf numFmtId="0" fontId="81" fillId="5" borderId="9" xfId="0" applyFont="1" applyFill="1" applyBorder="1" applyAlignment="1" applyProtection="1">
      <alignment horizontal="center" vertical="center"/>
      <protection locked="0"/>
    </xf>
    <xf numFmtId="0" fontId="81" fillId="5" borderId="17" xfId="0" applyFont="1" applyFill="1" applyBorder="1" applyAlignment="1" applyProtection="1">
      <alignment horizontal="center" vertical="center" wrapText="1"/>
      <protection locked="0"/>
    </xf>
    <xf numFmtId="0" fontId="81" fillId="5" borderId="21" xfId="0"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wrapText="1"/>
    </xf>
    <xf numFmtId="0" fontId="84" fillId="5" borderId="17" xfId="0" applyFont="1" applyFill="1" applyBorder="1" applyAlignment="1" applyProtection="1">
      <alignment horizontal="left" vertical="center"/>
    </xf>
    <xf numFmtId="180" fontId="81" fillId="5" borderId="0" xfId="0" applyNumberFormat="1" applyFont="1" applyFill="1" applyBorder="1" applyAlignment="1" applyProtection="1">
      <alignment horizontal="center" vertical="center" wrapText="1"/>
    </xf>
    <xf numFmtId="180" fontId="84" fillId="5" borderId="0" xfId="0" applyNumberFormat="1" applyFont="1" applyFill="1" applyBorder="1" applyAlignment="1" applyProtection="1">
      <alignment horizontal="center" vertical="center" wrapText="1"/>
    </xf>
    <xf numFmtId="177" fontId="81" fillId="5" borderId="0" xfId="0" applyNumberFormat="1" applyFont="1" applyFill="1" applyAlignment="1" applyProtection="1">
      <alignment horizontal="center" vertical="center" wrapText="1"/>
    </xf>
    <xf numFmtId="0" fontId="76" fillId="5" borderId="5" xfId="0" applyFont="1" applyFill="1" applyBorder="1" applyProtection="1">
      <alignment vertical="center"/>
    </xf>
    <xf numFmtId="0" fontId="76" fillId="5" borderId="8" xfId="0" applyFont="1" applyFill="1" applyBorder="1" applyProtection="1">
      <alignment vertical="center"/>
    </xf>
    <xf numFmtId="0" fontId="80" fillId="5" borderId="9" xfId="0" applyFont="1" applyFill="1" applyBorder="1" applyAlignment="1" applyProtection="1">
      <alignment horizontal="center" vertical="center"/>
    </xf>
    <xf numFmtId="0" fontId="76" fillId="5" borderId="21" xfId="0" applyFont="1" applyFill="1" applyBorder="1" applyProtection="1">
      <alignment vertical="center"/>
    </xf>
    <xf numFmtId="0" fontId="81" fillId="5" borderId="0" xfId="0" applyFont="1" applyFill="1" applyAlignment="1" applyProtection="1">
      <alignment vertical="center"/>
    </xf>
    <xf numFmtId="0" fontId="81" fillId="0" borderId="0" xfId="0" applyFont="1" applyAlignment="1" applyProtection="1">
      <alignment vertical="center"/>
    </xf>
    <xf numFmtId="0" fontId="76" fillId="5" borderId="0" xfId="0" applyFont="1" applyFill="1" applyAlignment="1" applyProtection="1">
      <alignment vertical="center"/>
    </xf>
    <xf numFmtId="0" fontId="76" fillId="5" borderId="0" xfId="0" applyFont="1" applyFill="1" applyAlignment="1" applyProtection="1">
      <alignment horizontal="center" vertical="center"/>
    </xf>
    <xf numFmtId="0" fontId="76" fillId="0" borderId="0" xfId="0" applyFont="1" applyAlignment="1" applyProtection="1">
      <alignment vertical="center"/>
    </xf>
    <xf numFmtId="0" fontId="76" fillId="5" borderId="0" xfId="0" applyFont="1" applyFill="1" applyAlignment="1" applyProtection="1">
      <alignment vertical="center" wrapText="1"/>
    </xf>
    <xf numFmtId="180" fontId="76" fillId="5" borderId="37" xfId="0" applyNumberFormat="1" applyFont="1" applyFill="1" applyBorder="1" applyAlignment="1" applyProtection="1">
      <alignment vertical="center"/>
    </xf>
    <xf numFmtId="0" fontId="86" fillId="5" borderId="37" xfId="0" applyFont="1" applyFill="1" applyBorder="1" applyAlignment="1" applyProtection="1">
      <alignment vertical="center"/>
    </xf>
    <xf numFmtId="0" fontId="76" fillId="5" borderId="36" xfId="0" applyFont="1" applyFill="1" applyBorder="1" applyAlignment="1" applyProtection="1">
      <alignment horizontal="center" vertical="center"/>
    </xf>
    <xf numFmtId="0" fontId="76" fillId="5" borderId="37" xfId="0" applyFont="1" applyFill="1" applyBorder="1" applyAlignment="1" applyProtection="1">
      <alignment horizontal="center" vertical="center"/>
    </xf>
    <xf numFmtId="0" fontId="76" fillId="0" borderId="0" xfId="0" applyFont="1" applyAlignment="1" applyProtection="1">
      <alignment vertical="center" wrapText="1"/>
    </xf>
    <xf numFmtId="0" fontId="154" fillId="5" borderId="12" xfId="0" applyFont="1" applyFill="1" applyBorder="1" applyAlignment="1" applyProtection="1">
      <alignment horizontal="center" vertical="center"/>
    </xf>
    <xf numFmtId="0" fontId="90" fillId="5" borderId="0" xfId="0" applyFont="1" applyFill="1" applyAlignment="1" applyProtection="1">
      <alignment vertical="center" wrapText="1"/>
    </xf>
    <xf numFmtId="0" fontId="81" fillId="0" borderId="0" xfId="0" applyFont="1" applyFill="1" applyAlignment="1" applyProtection="1">
      <alignment vertical="center"/>
    </xf>
    <xf numFmtId="0" fontId="81" fillId="0" borderId="0" xfId="0" applyFont="1" applyAlignment="1" applyProtection="1">
      <alignment vertical="center" wrapText="1"/>
    </xf>
    <xf numFmtId="180" fontId="81" fillId="0" borderId="0" xfId="0" applyNumberFormat="1" applyFont="1" applyAlignment="1" applyProtection="1">
      <alignment vertical="center"/>
    </xf>
    <xf numFmtId="0" fontId="81" fillId="0" borderId="0" xfId="0" applyFont="1" applyAlignment="1" applyProtection="1">
      <alignment horizontal="center" vertical="center"/>
    </xf>
    <xf numFmtId="0" fontId="76" fillId="6" borderId="6" xfId="2"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xf>
    <xf numFmtId="0" fontId="53" fillId="5" borderId="36" xfId="0" applyFont="1" applyFill="1" applyBorder="1" applyAlignment="1" applyProtection="1">
      <alignment horizontal="center" vertical="center" wrapText="1"/>
    </xf>
    <xf numFmtId="0" fontId="53" fillId="5" borderId="49" xfId="0" applyFont="1" applyFill="1" applyBorder="1" applyAlignment="1" applyProtection="1">
      <alignment horizontal="right" vertical="center" wrapText="1"/>
    </xf>
    <xf numFmtId="0" fontId="53" fillId="5" borderId="38" xfId="0" applyFont="1" applyFill="1" applyBorder="1" applyAlignment="1" applyProtection="1">
      <alignment horizontal="center" vertical="center"/>
    </xf>
    <xf numFmtId="0" fontId="53" fillId="5" borderId="0" xfId="0" applyFont="1" applyFill="1" applyBorder="1" applyAlignment="1" applyProtection="1">
      <alignment horizontal="right" vertical="center" wrapText="1"/>
    </xf>
    <xf numFmtId="0" fontId="53" fillId="5" borderId="36" xfId="0" applyFont="1" applyFill="1" applyBorder="1" applyAlignment="1" applyProtection="1">
      <alignment horizontal="right" vertical="center" wrapText="1"/>
    </xf>
    <xf numFmtId="0" fontId="57" fillId="5" borderId="37" xfId="0" applyFont="1" applyFill="1" applyBorder="1" applyAlignment="1" applyProtection="1">
      <alignment horizontal="center" vertical="center"/>
    </xf>
    <xf numFmtId="0" fontId="53" fillId="5" borderId="53" xfId="0" applyFont="1" applyFill="1" applyBorder="1" applyAlignment="1" applyProtection="1">
      <alignment vertical="center" wrapText="1"/>
    </xf>
    <xf numFmtId="0" fontId="57" fillId="5" borderId="6" xfId="0" applyFont="1" applyFill="1" applyBorder="1" applyAlignment="1" applyProtection="1">
      <alignment horizontal="center" vertical="center" wrapText="1"/>
    </xf>
    <xf numFmtId="0" fontId="53" fillId="5" borderId="24" xfId="0" applyFont="1" applyFill="1" applyBorder="1" applyAlignment="1" applyProtection="1">
      <alignment vertical="center" wrapText="1"/>
    </xf>
    <xf numFmtId="0" fontId="57" fillId="5" borderId="20" xfId="0" applyFont="1" applyFill="1" applyBorder="1" applyAlignment="1" applyProtection="1">
      <alignment horizontal="center" vertical="center" wrapText="1"/>
    </xf>
    <xf numFmtId="0" fontId="57" fillId="5" borderId="2" xfId="0" applyFont="1" applyFill="1" applyBorder="1" applyAlignment="1" applyProtection="1">
      <alignment horizontal="center" vertical="center" wrapText="1"/>
    </xf>
    <xf numFmtId="49" fontId="57" fillId="5" borderId="24" xfId="0" applyNumberFormat="1"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xf>
    <xf numFmtId="49" fontId="57" fillId="5" borderId="23" xfId="0" applyNumberFormat="1" applyFont="1" applyFill="1" applyBorder="1" applyAlignment="1" applyProtection="1">
      <alignment horizontal="center" vertical="center" wrapText="1"/>
    </xf>
    <xf numFmtId="0" fontId="57" fillId="5" borderId="47" xfId="0" applyFont="1" applyFill="1" applyBorder="1" applyAlignment="1" applyProtection="1">
      <alignment horizontal="center" vertical="center" wrapText="1"/>
    </xf>
    <xf numFmtId="0" fontId="53" fillId="5" borderId="23" xfId="0" applyFont="1" applyFill="1" applyBorder="1" applyAlignment="1" applyProtection="1">
      <alignment vertical="center" wrapText="1"/>
    </xf>
    <xf numFmtId="0" fontId="57" fillId="5" borderId="44" xfId="0" applyFont="1" applyFill="1" applyBorder="1" applyAlignment="1" applyProtection="1">
      <alignment horizontal="center" vertical="center" wrapText="1"/>
    </xf>
    <xf numFmtId="0" fontId="53" fillId="5" borderId="26" xfId="0" applyFont="1" applyFill="1" applyBorder="1" applyAlignment="1" applyProtection="1">
      <alignment horizontal="center" vertical="center" wrapText="1"/>
    </xf>
    <xf numFmtId="0" fontId="53" fillId="5" borderId="26" xfId="0" applyFont="1" applyFill="1" applyBorder="1" applyAlignment="1" applyProtection="1">
      <alignment horizontal="right" vertical="center" wrapText="1"/>
    </xf>
    <xf numFmtId="0" fontId="53" fillId="5" borderId="39" xfId="0" applyFont="1" applyFill="1" applyBorder="1" applyAlignment="1" applyProtection="1">
      <alignment horizontal="center" vertical="center" wrapText="1"/>
    </xf>
    <xf numFmtId="0" fontId="53" fillId="5" borderId="82" xfId="0" applyFont="1" applyFill="1" applyBorder="1" applyAlignment="1" applyProtection="1">
      <alignment horizontal="right" vertical="center" wrapText="1"/>
    </xf>
    <xf numFmtId="0" fontId="57" fillId="5" borderId="1" xfId="0" applyFont="1" applyFill="1" applyBorder="1" applyAlignment="1" applyProtection="1">
      <alignment horizontal="center" vertical="center" wrapText="1"/>
    </xf>
    <xf numFmtId="49" fontId="57" fillId="5" borderId="41" xfId="0" applyNumberFormat="1" applyFont="1" applyFill="1" applyBorder="1" applyAlignment="1" applyProtection="1">
      <alignment horizontal="center" vertical="center" wrapText="1"/>
    </xf>
    <xf numFmtId="0" fontId="57" fillId="5" borderId="7" xfId="0" applyNumberFormat="1" applyFont="1" applyFill="1" applyBorder="1" applyAlignment="1" applyProtection="1">
      <alignment horizontal="center" vertical="center" wrapText="1"/>
    </xf>
    <xf numFmtId="0" fontId="57" fillId="5" borderId="50" xfId="0" applyFont="1" applyFill="1" applyBorder="1" applyAlignment="1" applyProtection="1">
      <alignment horizontal="center" vertical="center" wrapText="1"/>
    </xf>
    <xf numFmtId="49" fontId="57" fillId="5" borderId="12" xfId="0" applyNumberFormat="1" applyFont="1" applyFill="1" applyBorder="1" applyAlignment="1" applyProtection="1">
      <alignment horizontal="center" vertical="center" wrapText="1"/>
    </xf>
    <xf numFmtId="0" fontId="57" fillId="5" borderId="11" xfId="0" applyFont="1" applyFill="1" applyBorder="1" applyAlignment="1" applyProtection="1">
      <alignment horizontal="center" vertical="center" wrapText="1"/>
    </xf>
    <xf numFmtId="0" fontId="57" fillId="5" borderId="43" xfId="0" applyFont="1" applyFill="1" applyBorder="1" applyAlignment="1" applyProtection="1">
      <alignment horizontal="center" vertical="center" wrapText="1"/>
    </xf>
    <xf numFmtId="0" fontId="57" fillId="5" borderId="46" xfId="0" applyNumberFormat="1" applyFont="1" applyFill="1" applyBorder="1" applyAlignment="1" applyProtection="1">
      <alignment horizontal="center" vertical="center" wrapText="1"/>
    </xf>
    <xf numFmtId="0" fontId="81" fillId="0" borderId="0" xfId="0" applyFont="1" applyProtection="1">
      <alignment vertical="center"/>
    </xf>
    <xf numFmtId="0" fontId="81" fillId="5" borderId="16" xfId="0" applyFont="1" applyFill="1" applyBorder="1" applyProtection="1">
      <alignment vertical="center"/>
    </xf>
    <xf numFmtId="0" fontId="81" fillId="5" borderId="8" xfId="0" applyFont="1" applyFill="1" applyBorder="1" applyProtection="1">
      <alignment vertical="center"/>
    </xf>
    <xf numFmtId="0" fontId="81" fillId="5" borderId="5" xfId="0" applyFont="1" applyFill="1" applyBorder="1" applyProtection="1">
      <alignment vertical="center"/>
    </xf>
    <xf numFmtId="0" fontId="81" fillId="0" borderId="0" xfId="0" applyFont="1" applyFill="1" applyProtection="1">
      <alignment vertical="center"/>
    </xf>
    <xf numFmtId="0" fontId="176" fillId="5" borderId="59" xfId="0" applyFont="1" applyFill="1" applyBorder="1" applyAlignment="1" applyProtection="1">
      <alignment horizontal="left" vertical="center"/>
    </xf>
    <xf numFmtId="0" fontId="81" fillId="5" borderId="30" xfId="0" applyFont="1" applyFill="1" applyBorder="1" applyProtection="1">
      <alignment vertical="center"/>
    </xf>
    <xf numFmtId="0" fontId="81" fillId="5" borderId="57" xfId="0" applyFont="1" applyFill="1" applyBorder="1" applyProtection="1">
      <alignment vertical="center"/>
    </xf>
    <xf numFmtId="0" fontId="176" fillId="5" borderId="64" xfId="0" applyFont="1" applyFill="1" applyBorder="1" applyAlignment="1" applyProtection="1">
      <alignment horizontal="left" vertical="center"/>
    </xf>
    <xf numFmtId="0" fontId="81" fillId="5" borderId="38" xfId="0" applyFont="1" applyFill="1" applyBorder="1" applyProtection="1">
      <alignment vertical="center"/>
    </xf>
    <xf numFmtId="0" fontId="81" fillId="5" borderId="79" xfId="0" applyFont="1" applyFill="1" applyBorder="1" applyProtection="1">
      <alignment vertical="center"/>
    </xf>
    <xf numFmtId="0" fontId="176" fillId="5" borderId="54" xfId="0" applyFont="1" applyFill="1" applyBorder="1" applyAlignment="1" applyProtection="1">
      <alignment horizontal="left" vertical="center"/>
    </xf>
    <xf numFmtId="0" fontId="81" fillId="5" borderId="61" xfId="0" applyFont="1" applyFill="1" applyBorder="1" applyProtection="1">
      <alignment vertical="center"/>
    </xf>
    <xf numFmtId="0" fontId="81" fillId="5" borderId="66" xfId="0" applyFont="1" applyFill="1" applyBorder="1" applyProtection="1">
      <alignment vertical="center"/>
    </xf>
    <xf numFmtId="0" fontId="178" fillId="5" borderId="39" xfId="0" applyFont="1" applyFill="1" applyBorder="1" applyAlignment="1" applyProtection="1">
      <alignment horizontal="center" vertical="center" wrapText="1"/>
    </xf>
    <xf numFmtId="0" fontId="81" fillId="5" borderId="80" xfId="0" applyFont="1" applyFill="1" applyBorder="1" applyProtection="1">
      <alignment vertical="center"/>
    </xf>
    <xf numFmtId="0" fontId="178" fillId="5" borderId="65" xfId="0" applyFont="1" applyFill="1" applyBorder="1" applyAlignment="1" applyProtection="1">
      <alignment horizontal="center" vertical="center" wrapText="1"/>
    </xf>
    <xf numFmtId="0" fontId="154" fillId="5" borderId="66" xfId="0" applyFont="1" applyFill="1" applyBorder="1" applyAlignment="1" applyProtection="1">
      <alignment vertical="center" wrapText="1"/>
    </xf>
    <xf numFmtId="0" fontId="178" fillId="5" borderId="82" xfId="0" applyFont="1" applyFill="1" applyBorder="1" applyAlignment="1" applyProtection="1">
      <alignment horizontal="center" vertical="center" wrapText="1"/>
    </xf>
    <xf numFmtId="0" fontId="178" fillId="5" borderId="38" xfId="0" applyFont="1" applyFill="1" applyBorder="1" applyAlignment="1" applyProtection="1">
      <alignment horizontal="center" vertical="center" wrapText="1"/>
    </xf>
    <xf numFmtId="0" fontId="179" fillId="5" borderId="38" xfId="0" applyFont="1" applyFill="1" applyBorder="1" applyAlignment="1" applyProtection="1">
      <alignment horizontal="center" vertical="center" wrapText="1"/>
    </xf>
    <xf numFmtId="0" fontId="181" fillId="5" borderId="53" xfId="0" applyFont="1" applyFill="1" applyBorder="1" applyAlignment="1" applyProtection="1">
      <alignment horizontal="justify" vertical="center" wrapText="1"/>
    </xf>
    <xf numFmtId="0" fontId="181" fillId="5" borderId="27" xfId="0" applyFont="1" applyFill="1" applyBorder="1" applyAlignment="1" applyProtection="1">
      <alignment horizontal="center" vertical="center" wrapText="1"/>
    </xf>
    <xf numFmtId="0" fontId="182" fillId="5" borderId="11" xfId="0" applyFont="1" applyFill="1" applyBorder="1" applyAlignment="1" applyProtection="1">
      <alignment horizontal="center" vertical="center" wrapText="1"/>
    </xf>
    <xf numFmtId="0" fontId="182" fillId="5" borderId="2" xfId="0" applyFont="1" applyFill="1" applyBorder="1" applyAlignment="1" applyProtection="1">
      <alignment horizontal="center" vertical="center" wrapText="1"/>
    </xf>
    <xf numFmtId="180" fontId="176" fillId="5" borderId="2" xfId="0" applyNumberFormat="1" applyFont="1" applyFill="1" applyBorder="1" applyAlignment="1" applyProtection="1">
      <alignment horizontal="center" vertical="center" wrapText="1"/>
    </xf>
    <xf numFmtId="0" fontId="182" fillId="5" borderId="10" xfId="0" applyFont="1" applyFill="1" applyBorder="1" applyAlignment="1" applyProtection="1">
      <alignment horizontal="center" vertical="center" wrapText="1"/>
    </xf>
    <xf numFmtId="0" fontId="182" fillId="5" borderId="25" xfId="0" applyFont="1" applyFill="1" applyBorder="1" applyAlignment="1" applyProtection="1">
      <alignment horizontal="center" vertical="center" wrapText="1"/>
    </xf>
    <xf numFmtId="0" fontId="182" fillId="5" borderId="43" xfId="0" applyFont="1" applyFill="1" applyBorder="1" applyAlignment="1" applyProtection="1">
      <alignment horizontal="center" vertical="center" wrapText="1"/>
    </xf>
    <xf numFmtId="0" fontId="182" fillId="5" borderId="44" xfId="0" applyFont="1" applyFill="1" applyBorder="1" applyAlignment="1" applyProtection="1">
      <alignment horizontal="center" vertical="center" wrapText="1"/>
    </xf>
    <xf numFmtId="180" fontId="176" fillId="5" borderId="44" xfId="0" applyNumberFormat="1" applyFont="1" applyFill="1" applyBorder="1" applyAlignment="1" applyProtection="1">
      <alignment horizontal="center" vertical="center" wrapText="1"/>
    </xf>
    <xf numFmtId="0" fontId="81" fillId="5" borderId="55" xfId="0" applyFont="1" applyFill="1" applyBorder="1" applyProtection="1">
      <alignment vertical="center"/>
    </xf>
    <xf numFmtId="0" fontId="176" fillId="5" borderId="69" xfId="0" applyFont="1" applyFill="1" applyBorder="1" applyAlignment="1" applyProtection="1">
      <alignment horizontal="center" vertical="center" wrapText="1"/>
    </xf>
    <xf numFmtId="0" fontId="98" fillId="0" borderId="0" xfId="0" applyFont="1" applyBorder="1" applyAlignment="1" applyProtection="1">
      <alignment horizontal="left" vertical="center" wrapText="1"/>
    </xf>
    <xf numFmtId="0" fontId="155" fillId="5" borderId="0" xfId="0"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0" fontId="74" fillId="5" borderId="0" xfId="0" applyFont="1" applyFill="1" applyBorder="1" applyAlignment="1" applyProtection="1">
      <alignment vertical="center"/>
    </xf>
    <xf numFmtId="0" fontId="74" fillId="5" borderId="0" xfId="0" applyFont="1" applyFill="1" applyBorder="1" applyAlignment="1" applyProtection="1">
      <alignment horizontal="center" vertical="center"/>
    </xf>
    <xf numFmtId="9" fontId="81" fillId="5" borderId="0" xfId="0" applyNumberFormat="1" applyFont="1" applyFill="1" applyAlignment="1" applyProtection="1">
      <alignment horizontal="center" vertical="center"/>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10" fontId="81" fillId="5" borderId="0" xfId="0" applyNumberFormat="1" applyFont="1" applyFill="1" applyAlignment="1" applyProtection="1">
      <alignment horizontal="center" vertical="center"/>
    </xf>
    <xf numFmtId="0" fontId="183" fillId="5" borderId="2"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83" fillId="5" borderId="10" xfId="0" applyFont="1" applyFill="1" applyBorder="1" applyAlignment="1" applyProtection="1">
      <alignment horizontal="center" vertical="center" wrapText="1"/>
    </xf>
    <xf numFmtId="0" fontId="184" fillId="5" borderId="2" xfId="0" applyFont="1" applyFill="1" applyBorder="1" applyAlignment="1" applyProtection="1">
      <alignment horizontal="center" vertical="center" wrapText="1"/>
    </xf>
    <xf numFmtId="10" fontId="184" fillId="5" borderId="2" xfId="0" applyNumberFormat="1" applyFont="1" applyFill="1" applyBorder="1" applyAlignment="1" applyProtection="1">
      <alignment horizontal="center" vertical="center"/>
    </xf>
    <xf numFmtId="0" fontId="84" fillId="5" borderId="0" xfId="0" applyFont="1" applyFill="1" applyProtection="1">
      <alignment vertical="center"/>
    </xf>
    <xf numFmtId="9" fontId="184" fillId="5" borderId="2" xfId="0" applyNumberFormat="1" applyFont="1" applyFill="1" applyBorder="1" applyAlignment="1" applyProtection="1">
      <alignment horizontal="center" vertical="center"/>
    </xf>
    <xf numFmtId="0" fontId="184" fillId="5" borderId="10" xfId="0" applyFont="1" applyFill="1" applyBorder="1" applyAlignment="1" applyProtection="1">
      <alignment horizontal="center" vertical="center" wrapText="1"/>
    </xf>
    <xf numFmtId="9" fontId="184" fillId="5" borderId="10" xfId="0" applyNumberFormat="1" applyFont="1" applyFill="1" applyBorder="1" applyAlignment="1" applyProtection="1">
      <alignment horizontal="center" vertical="center"/>
    </xf>
    <xf numFmtId="0" fontId="184" fillId="5" borderId="5" xfId="0" applyFont="1" applyFill="1" applyBorder="1" applyAlignment="1" applyProtection="1">
      <alignment vertical="center" wrapText="1"/>
    </xf>
    <xf numFmtId="0" fontId="184" fillId="5" borderId="8" xfId="0" applyFont="1" applyFill="1" applyBorder="1" applyAlignment="1" applyProtection="1">
      <alignment horizontal="center" vertical="center" wrapText="1"/>
    </xf>
    <xf numFmtId="0" fontId="184" fillId="5" borderId="9" xfId="0" applyFont="1" applyFill="1" applyBorder="1" applyAlignment="1" applyProtection="1">
      <alignment vertical="center" wrapText="1"/>
    </xf>
    <xf numFmtId="0" fontId="81" fillId="5" borderId="0" xfId="0" applyFont="1" applyFill="1" applyBorder="1" applyAlignment="1" applyProtection="1">
      <alignment horizontal="left" vertical="center" wrapText="1"/>
    </xf>
    <xf numFmtId="0" fontId="184" fillId="5" borderId="84" xfId="0" applyFont="1" applyFill="1" applyBorder="1" applyAlignment="1" applyProtection="1">
      <alignment vertical="center" wrapText="1"/>
    </xf>
    <xf numFmtId="0" fontId="184" fillId="5" borderId="85" xfId="0" applyFont="1" applyFill="1" applyBorder="1" applyAlignment="1" applyProtection="1">
      <alignment horizontal="center" vertical="center" wrapText="1"/>
    </xf>
    <xf numFmtId="0" fontId="184" fillId="5" borderId="86" xfId="0" applyFont="1" applyFill="1" applyBorder="1" applyAlignment="1" applyProtection="1">
      <alignment vertical="center" wrapText="1"/>
    </xf>
    <xf numFmtId="49" fontId="90" fillId="5" borderId="31" xfId="0" applyNumberFormat="1" applyFont="1" applyFill="1" applyBorder="1" applyAlignment="1" applyProtection="1">
      <alignment horizontal="left" vertical="center" wrapText="1"/>
    </xf>
    <xf numFmtId="0" fontId="100" fillId="5" borderId="0" xfId="0" applyFont="1" applyFill="1" applyBorder="1" applyAlignment="1" applyProtection="1">
      <alignment horizontal="left" vertical="center" wrapText="1"/>
    </xf>
    <xf numFmtId="178" fontId="100" fillId="5" borderId="0" xfId="0" applyNumberFormat="1" applyFont="1" applyFill="1" applyBorder="1" applyAlignment="1" applyProtection="1">
      <alignment horizontal="center" vertical="center" wrapText="1"/>
    </xf>
    <xf numFmtId="10" fontId="91" fillId="5" borderId="0" xfId="0" applyNumberFormat="1" applyFont="1" applyFill="1" applyBorder="1" applyAlignment="1" applyProtection="1">
      <alignment horizontal="center" vertical="center" wrapText="1"/>
    </xf>
    <xf numFmtId="0" fontId="81" fillId="5" borderId="0" xfId="0" applyFont="1" applyFill="1" applyBorder="1" applyAlignment="1" applyProtection="1">
      <alignment horizontal="left" vertical="center"/>
    </xf>
    <xf numFmtId="0" fontId="154" fillId="0" borderId="0" xfId="0" applyFont="1" applyFill="1" applyProtection="1">
      <alignment vertical="center"/>
    </xf>
    <xf numFmtId="0" fontId="81" fillId="5" borderId="0" xfId="4" applyFont="1" applyFill="1" applyBorder="1" applyAlignment="1" applyProtection="1">
      <alignment horizontal="left" vertical="center" wrapText="1"/>
    </xf>
    <xf numFmtId="0" fontId="154" fillId="5" borderId="0" xfId="4" applyFont="1" applyFill="1" applyAlignment="1" applyProtection="1">
      <alignment vertical="center" wrapText="1"/>
    </xf>
    <xf numFmtId="0" fontId="154" fillId="5" borderId="0" xfId="4" applyFont="1" applyFill="1" applyProtection="1"/>
    <xf numFmtId="0" fontId="154" fillId="5" borderId="0" xfId="0" applyFont="1" applyFill="1" applyAlignment="1" applyProtection="1">
      <alignment vertical="center"/>
    </xf>
    <xf numFmtId="0" fontId="154" fillId="5" borderId="0" xfId="0" applyFont="1" applyFill="1" applyAlignment="1" applyProtection="1">
      <alignment horizontal="left" vertical="center"/>
    </xf>
    <xf numFmtId="0" fontId="154" fillId="5" borderId="0" xfId="4" applyFont="1" applyFill="1" applyAlignment="1" applyProtection="1">
      <alignment horizontal="left"/>
    </xf>
    <xf numFmtId="0" fontId="76" fillId="6" borderId="2" xfId="0" applyFont="1" applyFill="1" applyBorder="1" applyProtection="1">
      <alignment vertical="center"/>
      <protection locked="0"/>
    </xf>
    <xf numFmtId="0" fontId="162" fillId="5" borderId="14" xfId="0" applyFont="1" applyFill="1" applyBorder="1" applyAlignment="1" applyProtection="1">
      <alignment horizontal="left" vertical="center" wrapText="1"/>
    </xf>
    <xf numFmtId="0" fontId="162" fillId="5" borderId="14" xfId="0" applyFont="1" applyFill="1" applyBorder="1" applyAlignment="1" applyProtection="1">
      <alignment horizontal="center" vertical="center" wrapText="1"/>
    </xf>
    <xf numFmtId="0" fontId="162" fillId="5" borderId="32" xfId="0" applyFont="1" applyFill="1" applyBorder="1" applyAlignment="1" applyProtection="1">
      <alignment horizontal="center" vertical="center" wrapText="1"/>
    </xf>
    <xf numFmtId="191" fontId="183"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100" fillId="5" borderId="2" xfId="2" applyFont="1" applyFill="1" applyBorder="1" applyAlignment="1" applyProtection="1">
      <alignment horizontal="left"/>
    </xf>
    <xf numFmtId="0" fontId="91" fillId="5" borderId="2" xfId="2" applyFont="1" applyFill="1" applyBorder="1" applyAlignment="1" applyProtection="1"/>
    <xf numFmtId="0" fontId="161" fillId="5" borderId="9" xfId="2" applyFont="1" applyFill="1" applyBorder="1" applyAlignment="1" applyProtection="1">
      <alignment horizontal="left"/>
    </xf>
    <xf numFmtId="0" fontId="105" fillId="5" borderId="9" xfId="0" applyFont="1" applyFill="1" applyBorder="1" applyAlignment="1" applyProtection="1">
      <alignment vertical="center" wrapText="1"/>
    </xf>
    <xf numFmtId="0" fontId="161" fillId="5" borderId="2" xfId="0" applyFont="1" applyFill="1" applyBorder="1" applyAlignment="1" applyProtection="1">
      <alignment vertical="center" wrapText="1"/>
    </xf>
    <xf numFmtId="0" fontId="161" fillId="5" borderId="0" xfId="0" applyFont="1" applyFill="1" applyBorder="1" applyAlignment="1" applyProtection="1">
      <alignment vertical="center" wrapText="1"/>
    </xf>
    <xf numFmtId="0" fontId="105" fillId="5" borderId="0" xfId="0" applyFont="1" applyFill="1" applyBorder="1" applyAlignment="1" applyProtection="1">
      <alignment vertical="center" wrapText="1"/>
    </xf>
    <xf numFmtId="0" fontId="105" fillId="5" borderId="65" xfId="0" applyFont="1" applyFill="1" applyBorder="1" applyAlignment="1" applyProtection="1">
      <alignment vertical="center" wrapText="1"/>
    </xf>
    <xf numFmtId="0" fontId="103"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89"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188" fontId="89" fillId="3" borderId="9" xfId="0" applyNumberFormat="1" applyFont="1" applyFill="1" applyBorder="1" applyAlignment="1" applyProtection="1">
      <alignment horizontal="center" vertical="center"/>
    </xf>
    <xf numFmtId="188" fontId="89" fillId="3" borderId="9" xfId="0" applyNumberFormat="1" applyFont="1" applyFill="1" applyBorder="1" applyAlignment="1" applyProtection="1">
      <alignment horizontal="center" vertical="center" wrapText="1"/>
    </xf>
    <xf numFmtId="188" fontId="89" fillId="3" borderId="2" xfId="0" applyNumberFormat="1" applyFont="1" applyFill="1" applyBorder="1" applyAlignment="1" applyProtection="1">
      <alignment horizontal="center" vertical="center" wrapText="1"/>
    </xf>
    <xf numFmtId="188" fontId="89" fillId="0" borderId="0" xfId="0" applyNumberFormat="1" applyFont="1" applyFill="1" applyAlignment="1" applyProtection="1">
      <alignment horizontal="center" vertical="center"/>
    </xf>
    <xf numFmtId="182" fontId="89" fillId="0" borderId="0" xfId="0" applyNumberFormat="1" applyFont="1" applyFill="1" applyAlignment="1" applyProtection="1">
      <alignment horizontal="center" vertical="center"/>
    </xf>
    <xf numFmtId="0" fontId="110" fillId="0" borderId="0" xfId="0" applyFont="1" applyFill="1" applyAlignment="1" applyProtection="1">
      <alignment horizontal="center" vertical="center"/>
    </xf>
    <xf numFmtId="0" fontId="114" fillId="0" borderId="0" xfId="0" applyFont="1" applyFill="1" applyAlignment="1" applyProtection="1">
      <alignment horizontal="center" vertical="center"/>
    </xf>
    <xf numFmtId="49" fontId="76" fillId="0" borderId="0" xfId="0" applyNumberFormat="1" applyFont="1" applyFill="1" applyAlignment="1" applyProtection="1">
      <alignment horizontal="center" vertical="center"/>
    </xf>
    <xf numFmtId="0" fontId="104" fillId="5" borderId="11" xfId="0" applyNumberFormat="1" applyFont="1" applyFill="1" applyBorder="1" applyAlignment="1" applyProtection="1">
      <alignment horizontal="center" vertical="center" wrapText="1"/>
    </xf>
    <xf numFmtId="9" fontId="100" fillId="0" borderId="5" xfId="2" applyNumberFormat="1" applyFont="1" applyFill="1" applyBorder="1" applyAlignment="1" applyProtection="1">
      <alignment horizontal="center" vertical="center"/>
      <protection locked="0"/>
    </xf>
    <xf numFmtId="0" fontId="103" fillId="5" borderId="0" xfId="0" applyFont="1" applyFill="1" applyAlignment="1" applyProtection="1">
      <alignment vertical="center"/>
    </xf>
    <xf numFmtId="0" fontId="111" fillId="5" borderId="0" xfId="0" applyFont="1" applyFill="1" applyBorder="1" applyAlignment="1" applyProtection="1">
      <alignment vertical="center"/>
    </xf>
    <xf numFmtId="0" fontId="102" fillId="5" borderId="21" xfId="0" applyFont="1" applyFill="1" applyBorder="1" applyAlignment="1" applyProtection="1">
      <alignment vertical="center"/>
    </xf>
    <xf numFmtId="0" fontId="76" fillId="5" borderId="0" xfId="0" applyFont="1" applyFill="1" applyBorder="1" applyAlignment="1" applyProtection="1">
      <alignment horizontal="center"/>
    </xf>
    <xf numFmtId="0" fontId="76" fillId="5" borderId="0" xfId="0" applyFont="1" applyFill="1" applyBorder="1" applyAlignment="1" applyProtection="1"/>
    <xf numFmtId="0" fontId="76" fillId="5" borderId="65" xfId="0" applyFont="1" applyFill="1" applyBorder="1" applyAlignment="1" applyProtection="1"/>
    <xf numFmtId="0" fontId="76" fillId="5" borderId="10" xfId="0" applyFont="1" applyFill="1" applyBorder="1" applyAlignment="1" applyProtection="1"/>
    <xf numFmtId="0" fontId="76" fillId="5" borderId="5" xfId="0" applyFont="1" applyFill="1" applyBorder="1" applyAlignment="1" applyProtection="1">
      <alignment horizontal="center"/>
    </xf>
    <xf numFmtId="0" fontId="76" fillId="5" borderId="3" xfId="0" applyFont="1" applyFill="1" applyBorder="1" applyAlignment="1" applyProtection="1"/>
    <xf numFmtId="0" fontId="111" fillId="5" borderId="55" xfId="0" applyFont="1" applyFill="1" applyBorder="1" applyAlignment="1" applyProtection="1">
      <alignment vertical="center"/>
    </xf>
    <xf numFmtId="0" fontId="76" fillId="5" borderId="55" xfId="0" applyFont="1" applyFill="1" applyBorder="1" applyAlignment="1" applyProtection="1">
      <alignment horizontal="center"/>
    </xf>
    <xf numFmtId="0" fontId="76" fillId="5" borderId="55" xfId="0" applyFont="1" applyFill="1" applyBorder="1" applyAlignment="1" applyProtection="1"/>
    <xf numFmtId="0" fontId="111" fillId="0" borderId="0" xfId="0" applyFont="1" applyFill="1" applyAlignment="1" applyProtection="1">
      <alignment horizontal="center" vertical="center"/>
    </xf>
    <xf numFmtId="49" fontId="102" fillId="5" borderId="0" xfId="0" applyNumberFormat="1" applyFont="1" applyFill="1" applyBorder="1" applyAlignment="1" applyProtection="1">
      <alignment horizontal="center"/>
    </xf>
    <xf numFmtId="0" fontId="185" fillId="0" borderId="2" xfId="0" applyFont="1" applyBorder="1" applyAlignment="1" applyProtection="1">
      <alignment horizontal="center" vertical="center"/>
      <protection locked="0"/>
    </xf>
    <xf numFmtId="177" fontId="88" fillId="5" borderId="57" xfId="2" applyNumberFormat="1"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81" fillId="3" borderId="12" xfId="0" applyFont="1" applyFill="1" applyBorder="1" applyProtection="1">
      <alignment vertical="center"/>
      <protection locked="0"/>
    </xf>
    <xf numFmtId="0" fontId="76" fillId="3" borderId="25" xfId="0" applyFont="1" applyFill="1" applyBorder="1" applyProtection="1">
      <alignment vertical="center"/>
      <protection locked="0"/>
    </xf>
    <xf numFmtId="0" fontId="76" fillId="5" borderId="54" xfId="0" applyFont="1" applyFill="1" applyBorder="1" applyAlignment="1" applyProtection="1">
      <alignment vertical="center"/>
    </xf>
    <xf numFmtId="0" fontId="80" fillId="5" borderId="45" xfId="0" applyFont="1" applyFill="1" applyBorder="1" applyAlignment="1" applyProtection="1">
      <alignment vertical="center"/>
    </xf>
    <xf numFmtId="180" fontId="80" fillId="5" borderId="47" xfId="0" applyNumberFormat="1" applyFont="1" applyFill="1" applyBorder="1" applyAlignment="1" applyProtection="1">
      <alignment vertical="center"/>
    </xf>
    <xf numFmtId="180" fontId="80" fillId="5" borderId="44" xfId="0" applyNumberFormat="1" applyFont="1" applyFill="1" applyBorder="1" applyAlignment="1" applyProtection="1">
      <alignment vertical="center"/>
    </xf>
    <xf numFmtId="180" fontId="80" fillId="5" borderId="46" xfId="0" applyNumberFormat="1" applyFont="1" applyFill="1" applyBorder="1" applyAlignment="1" applyProtection="1">
      <alignment vertical="center"/>
    </xf>
    <xf numFmtId="49" fontId="57" fillId="0" borderId="50" xfId="0" applyNumberFormat="1" applyFont="1" applyFill="1" applyBorder="1" applyAlignment="1" applyProtection="1">
      <alignment horizontal="center" vertical="center" wrapText="1"/>
      <protection locked="0"/>
    </xf>
    <xf numFmtId="0" fontId="57" fillId="0" borderId="74" xfId="0" applyNumberFormat="1" applyFont="1" applyFill="1" applyBorder="1" applyAlignment="1" applyProtection="1">
      <alignment horizontal="center" vertical="center" wrapText="1"/>
      <protection locked="0"/>
    </xf>
    <xf numFmtId="0" fontId="135" fillId="0" borderId="74" xfId="0" applyNumberFormat="1" applyFont="1" applyFill="1" applyBorder="1" applyAlignment="1" applyProtection="1">
      <alignment horizontal="center" vertical="center" wrapText="1"/>
      <protection locked="0"/>
    </xf>
    <xf numFmtId="0" fontId="91" fillId="0" borderId="25" xfId="2" applyNumberFormat="1" applyFont="1" applyFill="1" applyBorder="1" applyAlignment="1" applyProtection="1">
      <alignment horizontal="center" vertical="center"/>
      <protection locked="0"/>
    </xf>
    <xf numFmtId="182" fontId="81" fillId="0" borderId="7" xfId="0" applyNumberFormat="1" applyFont="1" applyFill="1" applyBorder="1" applyAlignment="1" applyProtection="1">
      <alignment horizontal="center" vertical="center"/>
      <protection locked="0"/>
    </xf>
    <xf numFmtId="0" fontId="62" fillId="5" borderId="10" xfId="2" applyFont="1" applyFill="1" applyBorder="1" applyAlignment="1" applyProtection="1">
      <alignment vertical="center"/>
    </xf>
    <xf numFmtId="0" fontId="52" fillId="5" borderId="10" xfId="2" applyFont="1" applyFill="1" applyBorder="1" applyAlignment="1" applyProtection="1">
      <alignment vertical="center"/>
    </xf>
    <xf numFmtId="0" fontId="80" fillId="5" borderId="6" xfId="0" applyFont="1" applyFill="1" applyBorder="1" applyAlignment="1" applyProtection="1">
      <alignment vertical="center"/>
    </xf>
    <xf numFmtId="0" fontId="80" fillId="5" borderId="40" xfId="0" applyFont="1" applyFill="1" applyBorder="1" applyAlignment="1" applyProtection="1">
      <alignment horizontal="right" vertical="center"/>
    </xf>
    <xf numFmtId="0" fontId="90" fillId="5" borderId="57" xfId="0" applyFont="1" applyFill="1" applyBorder="1" applyAlignment="1" applyProtection="1">
      <alignment vertical="center"/>
    </xf>
    <xf numFmtId="0" fontId="80" fillId="5" borderId="2" xfId="0" applyFont="1" applyFill="1" applyBorder="1" applyProtection="1">
      <alignment vertical="center"/>
    </xf>
    <xf numFmtId="0" fontId="90" fillId="5" borderId="16" xfId="0" applyFont="1" applyFill="1" applyBorder="1" applyAlignment="1" applyProtection="1">
      <alignment vertical="center"/>
    </xf>
    <xf numFmtId="0" fontId="80" fillId="5" borderId="10" xfId="0" applyFont="1" applyFill="1" applyBorder="1" applyProtection="1">
      <alignment vertical="center"/>
    </xf>
    <xf numFmtId="0" fontId="90" fillId="5" borderId="16" xfId="0" applyFont="1" applyFill="1" applyBorder="1" applyProtection="1">
      <alignment vertical="center"/>
    </xf>
    <xf numFmtId="0" fontId="80" fillId="5" borderId="3" xfId="0" applyFont="1" applyFill="1" applyBorder="1" applyProtection="1">
      <alignment vertical="center"/>
    </xf>
    <xf numFmtId="0" fontId="90" fillId="5" borderId="14" xfId="0" applyFont="1" applyFill="1" applyBorder="1" applyAlignment="1" applyProtection="1">
      <alignment horizontal="right" vertical="center"/>
    </xf>
    <xf numFmtId="0" fontId="90" fillId="5" borderId="15" xfId="0" applyFont="1" applyFill="1" applyBorder="1" applyAlignment="1" applyProtection="1">
      <alignment horizontal="left" vertical="center"/>
    </xf>
    <xf numFmtId="0" fontId="75" fillId="5" borderId="2" xfId="0" applyFont="1" applyFill="1" applyBorder="1" applyAlignment="1" applyProtection="1">
      <alignment horizontal="right" vertical="center"/>
    </xf>
    <xf numFmtId="0" fontId="186" fillId="5" borderId="66" xfId="0" applyFont="1" applyFill="1" applyBorder="1" applyAlignment="1" applyProtection="1">
      <alignment horizontal="center" vertical="center" wrapText="1"/>
    </xf>
    <xf numFmtId="0" fontId="164" fillId="0" borderId="2" xfId="1" applyFont="1" applyBorder="1" applyAlignment="1" applyProtection="1">
      <alignment horizontal="center" vertical="center" wrapText="1"/>
      <protection locked="0"/>
    </xf>
    <xf numFmtId="0" fontId="153" fillId="0" borderId="2" xfId="1" applyFont="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53" fillId="0" borderId="2" xfId="1" applyFont="1" applyFill="1" applyBorder="1" applyAlignment="1" applyProtection="1">
      <alignment horizontal="center" vertical="center" wrapText="1"/>
      <protection locked="0"/>
    </xf>
    <xf numFmtId="0" fontId="137" fillId="0" borderId="2" xfId="1" applyFont="1" applyFill="1" applyBorder="1" applyAlignment="1" applyProtection="1">
      <alignment horizontal="center" vertical="center" wrapText="1"/>
      <protection locked="0"/>
    </xf>
    <xf numFmtId="0" fontId="168" fillId="0" borderId="2" xfId="1" applyFont="1" applyFill="1" applyBorder="1" applyAlignment="1" applyProtection="1">
      <alignment horizontal="center" vertical="center" wrapText="1"/>
      <protection locked="0"/>
    </xf>
    <xf numFmtId="0" fontId="187" fillId="5" borderId="59" xfId="3" applyFont="1" applyFill="1" applyBorder="1" applyAlignment="1" applyProtection="1">
      <alignment vertical="center"/>
    </xf>
    <xf numFmtId="0" fontId="52" fillId="5" borderId="30" xfId="3" applyFont="1" applyFill="1" applyBorder="1" applyAlignment="1" applyProtection="1">
      <alignment vertical="center"/>
    </xf>
    <xf numFmtId="0" fontId="45" fillId="5" borderId="0" xfId="3" applyFont="1" applyFill="1" applyAlignment="1" applyProtection="1">
      <alignment vertical="center" wrapText="1"/>
    </xf>
    <xf numFmtId="0" fontId="45" fillId="8" borderId="0" xfId="3" applyFont="1" applyFill="1" applyAlignment="1" applyProtection="1">
      <alignment vertical="center" wrapText="1"/>
    </xf>
    <xf numFmtId="0" fontId="45" fillId="8" borderId="0" xfId="3" applyFont="1" applyFill="1" applyAlignment="1" applyProtection="1">
      <alignment horizontal="center" vertical="center" wrapText="1"/>
    </xf>
    <xf numFmtId="0" fontId="45" fillId="0" borderId="0" xfId="3" applyFont="1" applyAlignment="1" applyProtection="1">
      <alignment horizontal="center" vertical="center" wrapText="1"/>
    </xf>
    <xf numFmtId="0" fontId="45" fillId="0" borderId="0" xfId="3" applyFont="1" applyAlignment="1" applyProtection="1">
      <alignment vertical="center" wrapText="1"/>
    </xf>
    <xf numFmtId="0" fontId="52" fillId="5" borderId="2" xfId="3" applyFont="1" applyFill="1" applyBorder="1" applyAlignment="1" applyProtection="1">
      <alignment vertical="center"/>
    </xf>
    <xf numFmtId="0" fontId="52" fillId="5" borderId="5" xfId="3" applyFont="1" applyFill="1" applyBorder="1" applyAlignment="1" applyProtection="1">
      <alignment vertical="center"/>
    </xf>
    <xf numFmtId="0" fontId="45" fillId="5" borderId="2" xfId="3" applyNumberFormat="1" applyFont="1" applyFill="1" applyBorder="1" applyAlignment="1" applyProtection="1">
      <alignment horizontal="left" vertical="center" wrapText="1"/>
    </xf>
    <xf numFmtId="0" fontId="45" fillId="6" borderId="2" xfId="3" applyNumberFormat="1" applyFont="1" applyFill="1" applyBorder="1" applyAlignment="1" applyProtection="1">
      <alignment horizontal="center" vertical="center" wrapText="1"/>
      <protection locked="0"/>
    </xf>
    <xf numFmtId="0" fontId="45" fillId="5" borderId="0" xfId="3" applyNumberFormat="1" applyFont="1" applyFill="1" applyAlignment="1" applyProtection="1">
      <alignment vertical="center" wrapText="1"/>
    </xf>
    <xf numFmtId="0" fontId="52" fillId="5" borderId="10" xfId="3" applyFont="1" applyFill="1" applyBorder="1" applyAlignment="1" applyProtection="1">
      <alignment vertical="center"/>
    </xf>
    <xf numFmtId="0" fontId="45" fillId="6" borderId="2" xfId="3" applyNumberFormat="1" applyFont="1" applyFill="1" applyBorder="1" applyAlignment="1" applyProtection="1">
      <alignment vertical="center" wrapText="1"/>
      <protection locked="0"/>
    </xf>
    <xf numFmtId="0" fontId="45" fillId="6" borderId="2" xfId="0" applyFont="1" applyFill="1" applyBorder="1" applyAlignment="1" applyProtection="1">
      <alignment horizontal="left" vertical="center"/>
      <protection locked="0"/>
    </xf>
    <xf numFmtId="0" fontId="45" fillId="5" borderId="2" xfId="3" applyFont="1" applyFill="1" applyBorder="1" applyAlignment="1" applyProtection="1">
      <alignment horizontal="left" vertical="center" wrapText="1"/>
    </xf>
    <xf numFmtId="0" fontId="62" fillId="5" borderId="10" xfId="3" applyFont="1" applyFill="1" applyBorder="1" applyAlignment="1" applyProtection="1">
      <alignment horizontal="left" vertical="center" wrapText="1"/>
    </xf>
    <xf numFmtId="0" fontId="62" fillId="5" borderId="14" xfId="3" applyFont="1" applyFill="1" applyBorder="1" applyAlignment="1" applyProtection="1">
      <alignment vertical="center" wrapText="1"/>
    </xf>
    <xf numFmtId="0" fontId="63" fillId="5" borderId="14" xfId="3" applyFont="1" applyFill="1" applyBorder="1" applyAlignment="1" applyProtection="1">
      <alignment vertical="center" wrapText="1"/>
    </xf>
    <xf numFmtId="0" fontId="63" fillId="5" borderId="32" xfId="3" applyFont="1" applyFill="1" applyBorder="1" applyAlignment="1" applyProtection="1">
      <alignment vertical="center" wrapText="1"/>
    </xf>
    <xf numFmtId="0" fontId="63" fillId="8" borderId="0" xfId="3" applyFont="1" applyFill="1" applyAlignment="1" applyProtection="1">
      <alignment horizontal="center" vertical="center" wrapText="1"/>
    </xf>
    <xf numFmtId="0" fontId="63" fillId="0" borderId="0" xfId="3" applyFont="1" applyAlignment="1" applyProtection="1">
      <alignment horizontal="center" vertical="center" wrapText="1"/>
    </xf>
    <xf numFmtId="0" fontId="63" fillId="0" borderId="0" xfId="3" applyFont="1" applyAlignment="1" applyProtection="1">
      <alignment vertical="center" wrapText="1"/>
    </xf>
    <xf numFmtId="0" fontId="47" fillId="5" borderId="37" xfId="3" applyFont="1" applyFill="1" applyBorder="1" applyAlignment="1" applyProtection="1">
      <alignment horizontal="left" vertical="center" wrapText="1"/>
    </xf>
    <xf numFmtId="0" fontId="189" fillId="5" borderId="49" xfId="3" applyFont="1" applyFill="1" applyBorder="1" applyAlignment="1" applyProtection="1">
      <alignment vertical="center"/>
    </xf>
    <xf numFmtId="0" fontId="47" fillId="5" borderId="37" xfId="3" applyFont="1" applyFill="1" applyBorder="1" applyAlignment="1" applyProtection="1">
      <alignment horizontal="center" vertical="center" wrapText="1"/>
    </xf>
    <xf numFmtId="0" fontId="45" fillId="5" borderId="37" xfId="3" applyFont="1" applyFill="1" applyBorder="1" applyAlignment="1" applyProtection="1">
      <alignment vertical="center" wrapText="1"/>
    </xf>
    <xf numFmtId="0" fontId="45" fillId="5" borderId="38" xfId="3" applyFont="1" applyFill="1" applyBorder="1" applyAlignment="1" applyProtection="1">
      <alignment vertical="center" wrapText="1"/>
    </xf>
    <xf numFmtId="0" fontId="47" fillId="5" borderId="6" xfId="3" applyFont="1" applyFill="1" applyBorder="1" applyAlignment="1" applyProtection="1">
      <alignment horizontal="left" vertical="center" wrapText="1"/>
    </xf>
    <xf numFmtId="0" fontId="45" fillId="5" borderId="6" xfId="3" applyFont="1" applyFill="1" applyBorder="1" applyAlignment="1" applyProtection="1">
      <alignment horizontal="center" vertical="center" wrapText="1"/>
    </xf>
    <xf numFmtId="0" fontId="45" fillId="5" borderId="28" xfId="3" applyFont="1" applyFill="1" applyBorder="1" applyAlignment="1" applyProtection="1">
      <alignment horizontal="center" vertical="center" wrapText="1"/>
    </xf>
    <xf numFmtId="0" fontId="45" fillId="5" borderId="28" xfId="3" applyFont="1" applyFill="1" applyBorder="1" applyAlignment="1" applyProtection="1">
      <alignment vertical="center" wrapText="1"/>
    </xf>
    <xf numFmtId="0" fontId="45" fillId="5" borderId="39" xfId="3" applyFont="1" applyFill="1" applyBorder="1" applyAlignment="1" applyProtection="1">
      <alignment vertical="center" wrapText="1"/>
    </xf>
    <xf numFmtId="0" fontId="45" fillId="5" borderId="5" xfId="3" applyFont="1" applyFill="1" applyBorder="1" applyAlignment="1" applyProtection="1">
      <alignment vertical="center"/>
    </xf>
    <xf numFmtId="0" fontId="45" fillId="5" borderId="8" xfId="3" applyFont="1" applyFill="1" applyBorder="1" applyAlignment="1" applyProtection="1">
      <alignment vertical="center" wrapText="1"/>
    </xf>
    <xf numFmtId="0" fontId="45" fillId="5" borderId="16" xfId="3" applyFont="1" applyFill="1" applyBorder="1" applyAlignment="1" applyProtection="1">
      <alignment vertical="center" wrapText="1"/>
    </xf>
    <xf numFmtId="0" fontId="45" fillId="5" borderId="10" xfId="3" applyFont="1" applyFill="1" applyBorder="1" applyAlignment="1" applyProtection="1">
      <alignment horizontal="left" vertical="center" wrapText="1"/>
    </xf>
    <xf numFmtId="0" fontId="45" fillId="5" borderId="4" xfId="3" applyFont="1" applyFill="1" applyBorder="1" applyAlignment="1" applyProtection="1">
      <alignment vertical="center"/>
    </xf>
    <xf numFmtId="0" fontId="45" fillId="5" borderId="14" xfId="3" applyFont="1" applyFill="1" applyBorder="1" applyAlignment="1" applyProtection="1">
      <alignment vertical="center" wrapText="1"/>
    </xf>
    <xf numFmtId="0" fontId="45" fillId="5" borderId="15" xfId="3" applyFont="1" applyFill="1" applyBorder="1" applyAlignment="1" applyProtection="1">
      <alignment vertical="center" wrapText="1"/>
    </xf>
    <xf numFmtId="0" fontId="47" fillId="5" borderId="27" xfId="3" applyFont="1" applyFill="1" applyBorder="1" applyAlignment="1" applyProtection="1">
      <alignment horizontal="left" vertical="center" wrapText="1"/>
    </xf>
    <xf numFmtId="0" fontId="45" fillId="5" borderId="29" xfId="3" applyFont="1" applyFill="1" applyBorder="1" applyAlignment="1" applyProtection="1">
      <alignment vertical="center"/>
    </xf>
    <xf numFmtId="0" fontId="45" fillId="5" borderId="30" xfId="3" applyFont="1" applyFill="1" applyBorder="1" applyAlignment="1" applyProtection="1">
      <alignment horizontal="center" vertical="center" wrapText="1"/>
    </xf>
    <xf numFmtId="0" fontId="45" fillId="5" borderId="30" xfId="3" applyFont="1" applyFill="1" applyBorder="1" applyAlignment="1" applyProtection="1">
      <alignment vertical="center" wrapText="1"/>
    </xf>
    <xf numFmtId="0" fontId="45" fillId="5" borderId="57" xfId="3" applyFont="1" applyFill="1" applyBorder="1" applyAlignment="1" applyProtection="1">
      <alignment vertical="center" wrapText="1"/>
    </xf>
    <xf numFmtId="0" fontId="170" fillId="5" borderId="10" xfId="3" applyFont="1" applyFill="1" applyBorder="1" applyAlignment="1" applyProtection="1">
      <alignment horizontal="left" vertical="center" wrapText="1"/>
    </xf>
    <xf numFmtId="0" fontId="170" fillId="5" borderId="9"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45" fillId="0" borderId="2" xfId="3" applyFont="1" applyFill="1" applyBorder="1" applyAlignment="1" applyProtection="1">
      <alignment horizontal="center" vertical="center"/>
      <protection locked="0"/>
    </xf>
    <xf numFmtId="0" fontId="45" fillId="0" borderId="2" xfId="3" applyFont="1" applyBorder="1" applyAlignment="1" applyProtection="1">
      <alignment horizontal="center" vertical="center" wrapText="1"/>
      <protection locked="0"/>
    </xf>
    <xf numFmtId="0" fontId="45" fillId="0" borderId="2" xfId="3" applyFont="1" applyFill="1" applyBorder="1" applyAlignment="1" applyProtection="1">
      <alignment horizontal="center" vertical="center" wrapText="1"/>
      <protection locked="0"/>
    </xf>
    <xf numFmtId="0" fontId="45" fillId="0" borderId="12" xfId="3" applyFont="1" applyFill="1" applyBorder="1" applyAlignment="1" applyProtection="1">
      <alignment horizontal="center" vertical="center" wrapText="1"/>
      <protection locked="0"/>
    </xf>
    <xf numFmtId="0" fontId="170" fillId="5" borderId="21" xfId="3" applyFont="1" applyFill="1" applyBorder="1" applyAlignment="1" applyProtection="1">
      <alignment horizontal="left" vertical="center" wrapText="1"/>
    </xf>
    <xf numFmtId="0" fontId="170" fillId="6" borderId="9" xfId="3" applyFont="1" applyFill="1" applyBorder="1" applyAlignment="1" applyProtection="1">
      <alignment horizontal="center" vertical="center" wrapText="1"/>
      <protection locked="0"/>
    </xf>
    <xf numFmtId="0" fontId="170" fillId="6" borderId="2" xfId="3" applyFont="1" applyFill="1" applyBorder="1" applyAlignment="1" applyProtection="1">
      <alignment horizontal="center" vertical="center" wrapText="1"/>
      <protection locked="0"/>
    </xf>
    <xf numFmtId="0" fontId="170" fillId="6" borderId="21" xfId="3" applyFont="1" applyFill="1" applyBorder="1" applyAlignment="1" applyProtection="1">
      <alignment horizontal="center" vertical="center" wrapText="1"/>
      <protection locked="0"/>
    </xf>
    <xf numFmtId="0" fontId="59" fillId="5" borderId="17" xfId="3" applyFont="1" applyFill="1" applyBorder="1" applyAlignment="1" applyProtection="1">
      <alignment vertical="center"/>
    </xf>
    <xf numFmtId="0" fontId="45" fillId="5" borderId="0" xfId="3" applyFont="1" applyFill="1" applyBorder="1" applyAlignment="1" applyProtection="1">
      <alignment vertical="center" wrapText="1"/>
    </xf>
    <xf numFmtId="0" fontId="189" fillId="5" borderId="19" xfId="3" applyFont="1" applyFill="1" applyBorder="1" applyAlignment="1" applyProtection="1">
      <alignment vertical="center"/>
    </xf>
    <xf numFmtId="0" fontId="189" fillId="5" borderId="63" xfId="3" applyFont="1" applyFill="1" applyBorder="1" applyAlignment="1" applyProtection="1">
      <alignment vertical="center"/>
    </xf>
    <xf numFmtId="0" fontId="45" fillId="6" borderId="6" xfId="3" applyFont="1" applyFill="1" applyBorder="1" applyAlignment="1" applyProtection="1">
      <alignment horizontal="center" vertical="center" wrapText="1"/>
      <protection locked="0"/>
    </xf>
    <xf numFmtId="0" fontId="45" fillId="5" borderId="11" xfId="3" applyFont="1" applyFill="1" applyBorder="1" applyAlignment="1" applyProtection="1">
      <alignment horizontal="center" vertical="center" wrapText="1"/>
    </xf>
    <xf numFmtId="9" fontId="45" fillId="5" borderId="43" xfId="3" applyNumberFormat="1" applyFont="1" applyFill="1" applyBorder="1" applyAlignment="1" applyProtection="1">
      <alignment horizontal="center" vertical="center" wrapText="1"/>
    </xf>
    <xf numFmtId="0" fontId="62" fillId="5" borderId="83" xfId="3" applyFont="1" applyFill="1" applyBorder="1" applyAlignment="1" applyProtection="1">
      <alignment horizontal="left" vertical="center" wrapText="1"/>
    </xf>
    <xf numFmtId="0" fontId="63" fillId="5" borderId="38" xfId="3" applyFont="1" applyFill="1" applyBorder="1" applyAlignment="1" applyProtection="1">
      <alignment vertical="center" wrapText="1"/>
    </xf>
    <xf numFmtId="0" fontId="63" fillId="8" borderId="0" xfId="3" applyFont="1" applyFill="1" applyAlignment="1" applyProtection="1">
      <alignment vertical="center" wrapText="1"/>
    </xf>
    <xf numFmtId="10" fontId="45" fillId="8" borderId="0" xfId="3" applyNumberFormat="1" applyFont="1" applyFill="1" applyAlignment="1" applyProtection="1">
      <alignment horizontal="center" vertical="center" wrapText="1"/>
    </xf>
    <xf numFmtId="0" fontId="63" fillId="5" borderId="83" xfId="3" applyFont="1" applyFill="1" applyBorder="1" applyAlignment="1" applyProtection="1">
      <alignment horizontal="center" vertical="center" wrapText="1"/>
    </xf>
    <xf numFmtId="0" fontId="63" fillId="6" borderId="83" xfId="3" applyFont="1" applyFill="1" applyBorder="1" applyAlignment="1" applyProtection="1">
      <alignment horizontal="center" vertical="center" wrapText="1"/>
      <protection locked="0"/>
    </xf>
    <xf numFmtId="0" fontId="45" fillId="5" borderId="7" xfId="3" applyFont="1" applyFill="1" applyBorder="1" applyAlignment="1" applyProtection="1">
      <alignment horizontal="center" vertical="center" wrapText="1"/>
    </xf>
    <xf numFmtId="10" fontId="45" fillId="0" borderId="0" xfId="3" applyNumberFormat="1" applyFont="1" applyAlignment="1" applyProtection="1">
      <alignment horizontal="center" vertical="center" wrapText="1"/>
    </xf>
    <xf numFmtId="0" fontId="63" fillId="5" borderId="11" xfId="3" applyFont="1" applyFill="1" applyBorder="1" applyAlignment="1" applyProtection="1">
      <alignment horizontal="center" vertical="center" wrapText="1"/>
    </xf>
    <xf numFmtId="0" fontId="62" fillId="5" borderId="21" xfId="3" applyFont="1" applyFill="1" applyBorder="1" applyAlignment="1" applyProtection="1">
      <alignment horizontal="center" vertical="center" wrapText="1"/>
    </xf>
    <xf numFmtId="0" fontId="62" fillId="6" borderId="21" xfId="3" applyFont="1" applyFill="1" applyBorder="1" applyAlignment="1" applyProtection="1">
      <alignment horizontal="left" vertical="center" wrapText="1"/>
      <protection locked="0"/>
    </xf>
    <xf numFmtId="0" fontId="63" fillId="5" borderId="0" xfId="3" applyFont="1" applyFill="1" applyAlignment="1" applyProtection="1">
      <alignment vertical="center" wrapText="1"/>
    </xf>
    <xf numFmtId="0" fontId="63" fillId="5" borderId="21" xfId="3" applyFont="1" applyFill="1" applyBorder="1" applyAlignment="1" applyProtection="1">
      <alignment vertical="center" wrapText="1"/>
    </xf>
    <xf numFmtId="0" fontId="63" fillId="5" borderId="2" xfId="3" applyFont="1" applyFill="1" applyBorder="1" applyAlignment="1" applyProtection="1">
      <alignment horizontal="left" vertical="center" wrapText="1"/>
    </xf>
    <xf numFmtId="0" fontId="62" fillId="5" borderId="53" xfId="3" applyFont="1" applyFill="1" applyBorder="1" applyAlignment="1" applyProtection="1">
      <alignment horizontal="center" vertical="center" wrapText="1"/>
    </xf>
    <xf numFmtId="0" fontId="62" fillId="5" borderId="29" xfId="3" applyFont="1" applyFill="1" applyBorder="1" applyAlignment="1" applyProtection="1">
      <alignment horizontal="left" vertical="center" wrapText="1"/>
    </xf>
    <xf numFmtId="0" fontId="47" fillId="5" borderId="30" xfId="3" applyFont="1" applyFill="1" applyBorder="1" applyAlignment="1" applyProtection="1">
      <alignment horizontal="center" vertical="center" wrapText="1"/>
    </xf>
    <xf numFmtId="0" fontId="47" fillId="5" borderId="28" xfId="3" applyFont="1" applyFill="1" applyBorder="1" applyAlignment="1" applyProtection="1">
      <alignment vertical="center" wrapText="1"/>
    </xf>
    <xf numFmtId="0" fontId="62" fillId="5" borderId="24" xfId="3" applyFont="1" applyFill="1" applyBorder="1" applyAlignment="1" applyProtection="1">
      <alignment horizontal="center" vertical="center" wrapText="1"/>
    </xf>
    <xf numFmtId="0" fontId="45" fillId="5" borderId="13" xfId="3" applyFont="1" applyFill="1" applyBorder="1" applyAlignment="1" applyProtection="1">
      <alignment vertical="center" wrapText="1"/>
    </xf>
    <xf numFmtId="0" fontId="47" fillId="5" borderId="0" xfId="3" applyFont="1" applyFill="1" applyBorder="1" applyAlignment="1" applyProtection="1">
      <alignment vertical="center" wrapText="1"/>
    </xf>
    <xf numFmtId="0" fontId="45" fillId="5" borderId="65" xfId="3" applyFont="1" applyFill="1" applyBorder="1" applyAlignment="1" applyProtection="1">
      <alignment vertical="center" wrapText="1"/>
    </xf>
    <xf numFmtId="0" fontId="63" fillId="5" borderId="0" xfId="3" applyFont="1" applyFill="1" applyBorder="1" applyAlignment="1" applyProtection="1">
      <alignment horizontal="left" vertical="center" wrapText="1"/>
    </xf>
    <xf numFmtId="0" fontId="45" fillId="5" borderId="68" xfId="3" applyFont="1" applyFill="1" applyBorder="1" applyAlignment="1" applyProtection="1">
      <alignment vertical="center" wrapText="1"/>
    </xf>
    <xf numFmtId="0" fontId="45" fillId="5" borderId="61" xfId="3" applyFont="1" applyFill="1" applyBorder="1" applyAlignment="1" applyProtection="1">
      <alignment vertical="center" wrapText="1"/>
    </xf>
    <xf numFmtId="0" fontId="47" fillId="5" borderId="61" xfId="3" applyFont="1" applyFill="1" applyBorder="1" applyAlignment="1" applyProtection="1">
      <alignment vertical="center" wrapText="1"/>
    </xf>
    <xf numFmtId="0" fontId="45" fillId="5" borderId="66" xfId="3" applyFont="1" applyFill="1" applyBorder="1" applyAlignment="1" applyProtection="1">
      <alignment vertical="center" wrapText="1"/>
    </xf>
    <xf numFmtId="0" fontId="47" fillId="5" borderId="42" xfId="3" applyFont="1" applyFill="1" applyBorder="1" applyAlignment="1" applyProtection="1">
      <alignment vertical="center" wrapText="1"/>
    </xf>
    <xf numFmtId="0" fontId="62" fillId="5" borderId="6" xfId="3" applyFont="1" applyFill="1" applyBorder="1" applyAlignment="1" applyProtection="1">
      <alignment horizontal="center" vertical="center" wrapText="1"/>
    </xf>
    <xf numFmtId="0" fontId="62" fillId="5" borderId="29" xfId="3" applyFont="1" applyFill="1" applyBorder="1" applyAlignment="1" applyProtection="1">
      <alignment horizontal="center" vertical="center" wrapText="1"/>
    </xf>
    <xf numFmtId="0" fontId="47" fillId="5" borderId="29" xfId="3" applyFont="1" applyFill="1" applyBorder="1" applyAlignment="1" applyProtection="1">
      <alignment vertical="center" wrapText="1"/>
    </xf>
    <xf numFmtId="0" fontId="45" fillId="5" borderId="24" xfId="3" applyFont="1" applyFill="1" applyBorder="1" applyAlignment="1" applyProtection="1">
      <alignment horizontal="center" vertical="center" wrapText="1"/>
    </xf>
    <xf numFmtId="0" fontId="45" fillId="5" borderId="9" xfId="3" applyFont="1" applyFill="1" applyBorder="1" applyAlignment="1" applyProtection="1">
      <alignment horizontal="left" vertical="center" wrapText="1"/>
    </xf>
    <xf numFmtId="0" fontId="45" fillId="0" borderId="2" xfId="3" applyFont="1" applyBorder="1" applyAlignment="1" applyProtection="1">
      <alignment vertical="center" wrapText="1"/>
      <protection locked="0"/>
    </xf>
    <xf numFmtId="0" fontId="170" fillId="5" borderId="5" xfId="3" applyFont="1" applyFill="1" applyBorder="1" applyAlignment="1" applyProtection="1">
      <alignment vertical="center"/>
    </xf>
    <xf numFmtId="0" fontId="170" fillId="5" borderId="8" xfId="3" applyFont="1" applyFill="1" applyBorder="1" applyAlignment="1" applyProtection="1">
      <alignment vertical="center"/>
    </xf>
    <xf numFmtId="0" fontId="170" fillId="5" borderId="16" xfId="3" applyFont="1" applyFill="1" applyBorder="1" applyAlignment="1" applyProtection="1">
      <alignment vertical="center"/>
    </xf>
    <xf numFmtId="0" fontId="47" fillId="5" borderId="23" xfId="3" applyFont="1" applyFill="1" applyBorder="1" applyAlignment="1" applyProtection="1">
      <alignment vertical="center" wrapText="1"/>
    </xf>
    <xf numFmtId="0" fontId="45" fillId="5" borderId="47" xfId="3" applyFont="1" applyFill="1" applyBorder="1" applyAlignment="1" applyProtection="1">
      <alignment horizontal="left" vertical="center" wrapText="1"/>
    </xf>
    <xf numFmtId="0" fontId="45" fillId="0" borderId="44" xfId="3" applyFont="1" applyBorder="1" applyAlignment="1" applyProtection="1">
      <alignment vertical="center" wrapText="1"/>
      <protection locked="0"/>
    </xf>
    <xf numFmtId="0" fontId="45" fillId="5" borderId="44" xfId="3" applyFont="1" applyFill="1" applyBorder="1" applyAlignment="1" applyProtection="1">
      <alignment vertical="center"/>
    </xf>
    <xf numFmtId="0" fontId="45" fillId="5" borderId="56" xfId="3" applyFont="1" applyFill="1" applyBorder="1" applyAlignment="1" applyProtection="1">
      <alignment vertical="center" wrapText="1"/>
    </xf>
    <xf numFmtId="0" fontId="45" fillId="5" borderId="48" xfId="3" applyFont="1" applyFill="1" applyBorder="1" applyAlignment="1" applyProtection="1">
      <alignment vertical="center" wrapText="1"/>
    </xf>
    <xf numFmtId="0" fontId="47" fillId="5" borderId="53" xfId="3" applyFont="1" applyFill="1" applyBorder="1" applyAlignment="1" applyProtection="1">
      <alignment vertical="center" wrapText="1"/>
    </xf>
    <xf numFmtId="0" fontId="47" fillId="5" borderId="58" xfId="3" applyFont="1" applyFill="1" applyBorder="1" applyAlignment="1" applyProtection="1">
      <alignment horizontal="left" vertical="center" wrapText="1"/>
    </xf>
    <xf numFmtId="0" fontId="45" fillId="5" borderId="30" xfId="3" applyFont="1" applyFill="1" applyBorder="1" applyAlignment="1" applyProtection="1">
      <alignment vertical="center"/>
    </xf>
    <xf numFmtId="0" fontId="45" fillId="5" borderId="42" xfId="3" applyFont="1" applyFill="1" applyBorder="1" applyAlignment="1" applyProtection="1">
      <alignment vertical="center"/>
    </xf>
    <xf numFmtId="0" fontId="47" fillId="5" borderId="20" xfId="3" applyFont="1" applyFill="1" applyBorder="1" applyAlignment="1" applyProtection="1">
      <alignment vertical="center" wrapText="1"/>
    </xf>
    <xf numFmtId="0" fontId="62" fillId="5" borderId="9" xfId="3" applyFont="1" applyFill="1" applyBorder="1" applyAlignment="1" applyProtection="1">
      <alignment horizontal="center" vertical="center" wrapText="1"/>
    </xf>
    <xf numFmtId="0" fontId="62" fillId="5" borderId="2" xfId="3" applyFont="1" applyFill="1" applyBorder="1" applyAlignment="1" applyProtection="1">
      <alignment horizontal="center" vertical="center" wrapText="1"/>
    </xf>
    <xf numFmtId="0" fontId="45" fillId="5" borderId="2" xfId="3" applyFont="1" applyFill="1" applyBorder="1" applyAlignment="1" applyProtection="1">
      <alignment vertical="center" wrapText="1"/>
    </xf>
    <xf numFmtId="0" fontId="45" fillId="5" borderId="51" xfId="3" applyFont="1" applyFill="1" applyBorder="1" applyAlignment="1" applyProtection="1">
      <alignment vertical="center"/>
    </xf>
    <xf numFmtId="0" fontId="47" fillId="5" borderId="24" xfId="3" applyFont="1" applyFill="1" applyBorder="1" applyAlignment="1" applyProtection="1">
      <alignment vertical="center" wrapText="1"/>
    </xf>
    <xf numFmtId="0" fontId="170" fillId="5" borderId="20" xfId="3" applyFont="1" applyFill="1" applyBorder="1" applyAlignment="1" applyProtection="1">
      <alignment horizontal="center" vertical="center" wrapText="1"/>
    </xf>
    <xf numFmtId="0" fontId="45" fillId="5" borderId="65" xfId="3" applyFont="1" applyFill="1" applyBorder="1" applyAlignment="1" applyProtection="1">
      <alignment horizontal="center" vertical="center" wrapText="1"/>
    </xf>
    <xf numFmtId="0" fontId="170" fillId="5" borderId="47" xfId="3" applyFont="1" applyFill="1" applyBorder="1" applyAlignment="1" applyProtection="1">
      <alignment horizontal="center" vertical="center" wrapText="1"/>
    </xf>
    <xf numFmtId="0" fontId="45" fillId="5" borderId="66" xfId="3" applyFont="1" applyFill="1" applyBorder="1" applyAlignment="1" applyProtection="1">
      <alignment horizontal="center" vertical="center" wrapText="1"/>
    </xf>
    <xf numFmtId="0" fontId="45" fillId="0" borderId="0" xfId="3" applyFont="1" applyAlignment="1" applyProtection="1">
      <alignment horizontal="left" vertical="center" wrapText="1"/>
    </xf>
    <xf numFmtId="0" fontId="91" fillId="6" borderId="2" xfId="3" applyFont="1" applyFill="1" applyBorder="1" applyAlignment="1" applyProtection="1">
      <alignment horizontal="center" vertical="center" wrapText="1"/>
      <protection locked="0"/>
    </xf>
    <xf numFmtId="0" fontId="91" fillId="5" borderId="0" xfId="3" applyFont="1" applyFill="1" applyAlignment="1" applyProtection="1">
      <alignment vertical="center" wrapText="1"/>
    </xf>
    <xf numFmtId="186" fontId="91" fillId="5" borderId="3" xfId="3" applyNumberFormat="1" applyFont="1" applyFill="1" applyBorder="1" applyAlignment="1" applyProtection="1">
      <alignment horizontal="center" vertical="center" wrapText="1"/>
    </xf>
    <xf numFmtId="186" fontId="91" fillId="5" borderId="13" xfId="3" applyNumberFormat="1" applyFont="1" applyFill="1" applyBorder="1" applyAlignment="1" applyProtection="1">
      <alignment horizontal="center" vertical="center" wrapText="1"/>
    </xf>
    <xf numFmtId="0" fontId="91" fillId="5" borderId="9" xfId="3" applyFont="1" applyFill="1" applyBorder="1" applyAlignment="1" applyProtection="1">
      <alignment vertical="center" wrapText="1"/>
    </xf>
    <xf numFmtId="0" fontId="89" fillId="5" borderId="2" xfId="3" applyFont="1" applyFill="1" applyBorder="1" applyAlignment="1" applyProtection="1">
      <alignment vertical="center" wrapText="1"/>
    </xf>
    <xf numFmtId="0" fontId="91" fillId="5" borderId="14" xfId="3" applyFont="1" applyFill="1" applyBorder="1" applyAlignment="1" applyProtection="1">
      <alignment vertical="center"/>
    </xf>
    <xf numFmtId="0" fontId="89" fillId="5" borderId="10" xfId="3" applyFont="1" applyFill="1" applyBorder="1" applyAlignment="1" applyProtection="1">
      <alignment vertical="center" wrapText="1"/>
    </xf>
    <xf numFmtId="0" fontId="91" fillId="0" borderId="2" xfId="3" applyFont="1" applyBorder="1" applyAlignment="1" applyProtection="1">
      <alignment vertical="center" wrapText="1"/>
      <protection locked="0"/>
    </xf>
    <xf numFmtId="0" fontId="91" fillId="0" borderId="44" xfId="3" applyFont="1" applyBorder="1" applyAlignment="1" applyProtection="1">
      <alignment vertical="center" wrapText="1"/>
      <protection locked="0"/>
    </xf>
    <xf numFmtId="9" fontId="91" fillId="5" borderId="12" xfId="3" applyNumberFormat="1" applyFont="1" applyFill="1" applyBorder="1" applyAlignment="1" applyProtection="1">
      <alignment horizontal="center" vertical="center" wrapText="1"/>
    </xf>
    <xf numFmtId="10" fontId="91" fillId="5" borderId="44" xfId="3" applyNumberFormat="1" applyFont="1" applyFill="1" applyBorder="1" applyAlignment="1" applyProtection="1">
      <alignment horizontal="center" vertical="center" wrapText="1"/>
    </xf>
    <xf numFmtId="10" fontId="91" fillId="5" borderId="46" xfId="3" applyNumberFormat="1" applyFont="1" applyFill="1" applyBorder="1" applyAlignment="1" applyProtection="1">
      <alignment horizontal="center" vertical="center" wrapText="1"/>
    </xf>
    <xf numFmtId="10" fontId="89" fillId="0" borderId="9" xfId="3" applyNumberFormat="1" applyFont="1" applyFill="1" applyBorder="1" applyAlignment="1" applyProtection="1">
      <alignment horizontal="center" vertical="center" wrapText="1"/>
      <protection locked="0"/>
    </xf>
    <xf numFmtId="0" fontId="91" fillId="5" borderId="26" xfId="3" applyFont="1" applyFill="1" applyBorder="1" applyAlignment="1" applyProtection="1">
      <alignment vertical="center"/>
    </xf>
    <xf numFmtId="0" fontId="91" fillId="5" borderId="39" xfId="3" applyFont="1" applyFill="1" applyBorder="1" applyAlignment="1" applyProtection="1">
      <alignment vertical="center" wrapText="1"/>
    </xf>
    <xf numFmtId="0" fontId="91" fillId="5" borderId="11" xfId="3" applyFont="1" applyFill="1" applyBorder="1" applyAlignment="1" applyProtection="1">
      <alignment vertical="center"/>
    </xf>
    <xf numFmtId="9" fontId="91" fillId="5" borderId="12" xfId="3" applyNumberFormat="1" applyFont="1" applyFill="1" applyBorder="1" applyAlignment="1" applyProtection="1">
      <alignment horizontal="center" vertical="center"/>
    </xf>
    <xf numFmtId="0" fontId="91" fillId="5" borderId="43" xfId="3" applyFont="1" applyFill="1" applyBorder="1" applyAlignment="1" applyProtection="1">
      <alignment vertical="center" wrapText="1"/>
    </xf>
    <xf numFmtId="9" fontId="91" fillId="5" borderId="46" xfId="3" applyNumberFormat="1" applyFont="1" applyFill="1" applyBorder="1" applyAlignment="1" applyProtection="1">
      <alignment horizontal="center" vertical="center" wrapText="1"/>
    </xf>
    <xf numFmtId="0" fontId="172" fillId="5" borderId="0" xfId="0" applyFont="1" applyFill="1" applyBorder="1" applyAlignment="1" applyProtection="1">
      <alignment horizontal="center" vertical="center" wrapText="1"/>
    </xf>
    <xf numFmtId="0" fontId="172" fillId="5" borderId="0" xfId="0" applyFont="1" applyFill="1" applyBorder="1" applyAlignment="1" applyProtection="1">
      <alignment horizontal="center" vertical="center"/>
      <protection locked="0"/>
    </xf>
    <xf numFmtId="0" fontId="172" fillId="5" borderId="0" xfId="0" applyFont="1" applyFill="1" applyAlignment="1" applyProtection="1">
      <alignment horizontal="center" vertical="center"/>
      <protection locked="0"/>
    </xf>
    <xf numFmtId="0" fontId="57" fillId="5" borderId="0" xfId="0" applyFont="1" applyFill="1" applyBorder="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64" fillId="5" borderId="2" xfId="0" applyFont="1" applyFill="1" applyBorder="1" applyAlignment="1" applyProtection="1">
      <alignment horizontal="center" vertical="center"/>
    </xf>
    <xf numFmtId="0" fontId="157" fillId="5" borderId="2" xfId="0" applyFont="1" applyFill="1" applyBorder="1" applyAlignment="1" applyProtection="1">
      <alignment horizontal="center" vertical="center"/>
    </xf>
    <xf numFmtId="0" fontId="110" fillId="5" borderId="0" xfId="0" applyFont="1" applyFill="1" applyAlignment="1" applyProtection="1">
      <alignment horizontal="center" vertical="center"/>
    </xf>
    <xf numFmtId="0" fontId="157" fillId="0" borderId="2" xfId="0" applyFont="1" applyFill="1" applyBorder="1" applyAlignment="1" applyProtection="1">
      <alignment horizontal="center" vertical="center"/>
      <protection locked="0"/>
    </xf>
    <xf numFmtId="0" fontId="89" fillId="5" borderId="0" xfId="0" applyFont="1" applyFill="1" applyAlignment="1" applyProtection="1">
      <alignment horizontal="center" vertical="center"/>
    </xf>
    <xf numFmtId="0" fontId="25" fillId="6" borderId="6" xfId="0" applyFont="1" applyFill="1" applyBorder="1" applyAlignment="1" applyProtection="1">
      <alignment horizontal="center" vertical="center"/>
      <protection locked="0"/>
    </xf>
    <xf numFmtId="0" fontId="162" fillId="5" borderId="0" xfId="0" applyFont="1" applyFill="1" applyAlignment="1" applyProtection="1">
      <alignment horizontal="left" vertical="center"/>
    </xf>
    <xf numFmtId="182" fontId="106" fillId="5" borderId="14" xfId="0" applyNumberFormat="1" applyFont="1" applyFill="1" applyBorder="1" applyAlignment="1" applyProtection="1">
      <alignment vertical="center"/>
    </xf>
    <xf numFmtId="0" fontId="106" fillId="5" borderId="14"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6" fillId="5" borderId="19" xfId="0" applyFont="1" applyFill="1" applyBorder="1" applyAlignment="1" applyProtection="1">
      <alignment horizontal="center" vertical="center"/>
    </xf>
    <xf numFmtId="0" fontId="89" fillId="5" borderId="3" xfId="0"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xf>
    <xf numFmtId="0" fontId="89" fillId="5" borderId="2" xfId="0" applyFont="1" applyFill="1" applyBorder="1" applyAlignment="1" applyProtection="1">
      <alignment horizontal="center" vertical="center" wrapText="1"/>
    </xf>
    <xf numFmtId="187" fontId="89" fillId="5" borderId="5" xfId="0" applyNumberFormat="1" applyFont="1" applyFill="1" applyBorder="1" applyAlignment="1" applyProtection="1">
      <alignment horizontal="center" vertical="center"/>
    </xf>
    <xf numFmtId="49" fontId="89" fillId="5" borderId="9" xfId="0" applyNumberFormat="1" applyFont="1" applyFill="1" applyBorder="1" applyAlignment="1" applyProtection="1">
      <alignment horizontal="center" vertical="center"/>
    </xf>
    <xf numFmtId="0" fontId="89" fillId="5" borderId="2" xfId="0" applyFont="1" applyFill="1" applyBorder="1" applyAlignment="1" applyProtection="1">
      <alignment horizontal="center" vertical="center"/>
    </xf>
    <xf numFmtId="0" fontId="89" fillId="5" borderId="2" xfId="0" applyNumberFormat="1" applyFont="1" applyFill="1" applyBorder="1" applyAlignment="1" applyProtection="1">
      <alignment horizontal="center" vertical="center"/>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9" fillId="5" borderId="21" xfId="0" applyFont="1" applyFill="1" applyBorder="1" applyAlignment="1" applyProtection="1">
      <alignment vertical="center" textRotation="255" wrapText="1"/>
    </xf>
    <xf numFmtId="182" fontId="89" fillId="5" borderId="0" xfId="0" applyNumberFormat="1" applyFont="1" applyFill="1" applyBorder="1" applyAlignment="1" applyProtection="1"/>
    <xf numFmtId="0" fontId="89" fillId="5" borderId="0" xfId="0" applyFont="1" applyFill="1" applyBorder="1" applyAlignment="1" applyProtection="1"/>
    <xf numFmtId="0" fontId="115" fillId="5" borderId="0" xfId="0" applyFont="1" applyFill="1" applyBorder="1" applyAlignment="1" applyProtection="1"/>
    <xf numFmtId="0" fontId="89" fillId="5" borderId="0" xfId="0" applyFont="1" applyFill="1" applyBorder="1" applyAlignment="1" applyProtection="1">
      <alignment horizontal="center"/>
    </xf>
    <xf numFmtId="188" fontId="89" fillId="5" borderId="0" xfId="0" applyNumberFormat="1" applyFont="1" applyFill="1" applyBorder="1" applyAlignment="1" applyProtection="1">
      <alignment horizontal="center"/>
    </xf>
    <xf numFmtId="0" fontId="89" fillId="8" borderId="0" xfId="0" applyFont="1" applyFill="1" applyAlignment="1" applyProtection="1">
      <alignment horizontal="center" vertical="center"/>
    </xf>
    <xf numFmtId="188" fontId="89" fillId="8" borderId="0" xfId="0" applyNumberFormat="1" applyFont="1" applyFill="1" applyAlignment="1" applyProtection="1">
      <alignment horizontal="center" vertical="center"/>
    </xf>
    <xf numFmtId="182" fontId="89" fillId="8" borderId="0" xfId="0" applyNumberFormat="1" applyFont="1" applyFill="1" applyAlignment="1" applyProtection="1">
      <alignment horizontal="center" vertical="center"/>
    </xf>
    <xf numFmtId="178" fontId="102" fillId="5" borderId="0" xfId="0" applyNumberFormat="1" applyFont="1" applyFill="1" applyBorder="1" applyAlignment="1" applyProtection="1"/>
    <xf numFmtId="49" fontId="102" fillId="5" borderId="0" xfId="0" applyNumberFormat="1" applyFont="1" applyFill="1" applyBorder="1" applyAlignment="1" applyProtection="1">
      <alignment horizontal="left"/>
    </xf>
    <xf numFmtId="0" fontId="111" fillId="5" borderId="0" xfId="0" applyFont="1" applyFill="1" applyAlignment="1" applyProtection="1">
      <alignment vertical="center"/>
    </xf>
    <xf numFmtId="0" fontId="121" fillId="5" borderId="0" xfId="0" applyFont="1" applyFill="1" applyAlignment="1" applyProtection="1">
      <alignment vertical="center"/>
    </xf>
    <xf numFmtId="0" fontId="63" fillId="5" borderId="0" xfId="3" applyFont="1" applyFill="1" applyAlignment="1" applyProtection="1">
      <alignment vertical="center"/>
    </xf>
    <xf numFmtId="0" fontId="45" fillId="5" borderId="0" xfId="3" applyFont="1" applyFill="1" applyAlignment="1" applyProtection="1">
      <alignment vertical="center"/>
    </xf>
    <xf numFmtId="0" fontId="91" fillId="5" borderId="0" xfId="3" applyFont="1" applyFill="1" applyAlignment="1" applyProtection="1">
      <alignment horizontal="center" vertical="center" wrapText="1"/>
    </xf>
    <xf numFmtId="0" fontId="45" fillId="5" borderId="1" xfId="3" applyFont="1" applyFill="1" applyBorder="1" applyAlignment="1" applyProtection="1">
      <alignment horizontal="center" vertical="center" wrapText="1"/>
    </xf>
    <xf numFmtId="0" fontId="150" fillId="5" borderId="0" xfId="3" applyFill="1" applyAlignment="1" applyProtection="1">
      <alignment vertical="center"/>
    </xf>
    <xf numFmtId="0" fontId="169" fillId="5" borderId="14" xfId="3" applyFont="1" applyFill="1" applyBorder="1" applyAlignment="1" applyProtection="1">
      <alignment vertical="center"/>
    </xf>
    <xf numFmtId="0" fontId="107" fillId="5" borderId="14" xfId="0" applyFont="1" applyFill="1" applyBorder="1" applyAlignment="1" applyProtection="1">
      <alignment vertical="center"/>
    </xf>
    <xf numFmtId="0" fontId="102" fillId="5" borderId="0" xfId="0" applyFont="1" applyFill="1" applyBorder="1" applyAlignment="1" applyProtection="1">
      <alignment horizontal="center" vertical="center"/>
    </xf>
    <xf numFmtId="0" fontId="111" fillId="5" borderId="0" xfId="0" applyFont="1" applyFill="1" applyBorder="1" applyAlignment="1" applyProtection="1">
      <alignment horizontal="center" vertical="center"/>
    </xf>
    <xf numFmtId="0" fontId="111" fillId="5" borderId="0" xfId="0" applyFont="1" applyFill="1" applyAlignment="1" applyProtection="1">
      <alignment horizontal="center" vertical="center"/>
    </xf>
    <xf numFmtId="0" fontId="85" fillId="5" borderId="2" xfId="0" applyFont="1" applyFill="1" applyBorder="1" applyAlignment="1" applyProtection="1">
      <alignment horizontal="center" vertical="center" wrapText="1"/>
    </xf>
    <xf numFmtId="188" fontId="89" fillId="5" borderId="16" xfId="0" applyNumberFormat="1" applyFont="1" applyFill="1" applyBorder="1" applyAlignment="1" applyProtection="1">
      <alignment horizontal="center" vertical="center"/>
    </xf>
    <xf numFmtId="188" fontId="89" fillId="5" borderId="16" xfId="0" applyNumberFormat="1" applyFont="1" applyFill="1" applyBorder="1" applyAlignment="1" applyProtection="1">
      <alignment horizontal="center" vertical="center" wrapText="1"/>
    </xf>
    <xf numFmtId="188" fontId="89" fillId="5" borderId="46" xfId="0" applyNumberFormat="1" applyFont="1" applyFill="1" applyBorder="1" applyAlignment="1" applyProtection="1">
      <alignment horizontal="center" vertical="center" wrapText="1"/>
    </xf>
    <xf numFmtId="0" fontId="89" fillId="0" borderId="71" xfId="0" applyNumberFormat="1" applyFont="1" applyFill="1" applyBorder="1" applyAlignment="1" applyProtection="1">
      <alignment horizontal="center" vertical="center" wrapText="1"/>
    </xf>
    <xf numFmtId="0" fontId="89" fillId="0" borderId="72" xfId="0" applyNumberFormat="1" applyFont="1" applyFill="1" applyBorder="1" applyAlignment="1" applyProtection="1">
      <alignment horizontal="center" vertical="center" wrapText="1"/>
    </xf>
    <xf numFmtId="188" fontId="89" fillId="5" borderId="9" xfId="0" applyNumberFormat="1" applyFont="1" applyFill="1" applyBorder="1" applyAlignment="1" applyProtection="1">
      <alignment horizontal="center" vertical="center"/>
    </xf>
    <xf numFmtId="188" fontId="89" fillId="5" borderId="9" xfId="0" applyNumberFormat="1" applyFont="1" applyFill="1" applyBorder="1" applyAlignment="1" applyProtection="1">
      <alignment horizontal="center" vertical="center" wrapText="1"/>
    </xf>
    <xf numFmtId="188" fontId="89" fillId="5" borderId="2" xfId="0" applyNumberFormat="1" applyFont="1" applyFill="1" applyBorder="1" applyAlignment="1" applyProtection="1">
      <alignment horizontal="center" vertical="center" wrapText="1"/>
    </xf>
    <xf numFmtId="0" fontId="81" fillId="0" borderId="0" xfId="0" applyFont="1" applyAlignment="1" applyProtection="1">
      <alignment horizontal="center" vertical="center" wrapText="1"/>
    </xf>
    <xf numFmtId="0" fontId="122" fillId="0" borderId="0" xfId="0" applyFont="1" applyProtection="1">
      <alignment vertical="center"/>
    </xf>
    <xf numFmtId="0" fontId="81" fillId="0" borderId="0" xfId="0" applyNumberFormat="1" applyFont="1" applyAlignment="1" applyProtection="1">
      <alignment horizontal="center" vertical="center"/>
    </xf>
    <xf numFmtId="49" fontId="139" fillId="5" borderId="11" xfId="0" applyNumberFormat="1" applyFont="1" applyFill="1" applyBorder="1" applyAlignment="1" applyProtection="1">
      <alignment vertical="center" wrapText="1"/>
    </xf>
    <xf numFmtId="49" fontId="139" fillId="5" borderId="43" xfId="0" applyNumberFormat="1" applyFont="1" applyFill="1" applyBorder="1" applyAlignment="1" applyProtection="1">
      <alignment vertical="center" wrapText="1"/>
    </xf>
    <xf numFmtId="49" fontId="87" fillId="5" borderId="11" xfId="0" applyNumberFormat="1" applyFont="1" applyFill="1" applyBorder="1" applyAlignment="1" applyProtection="1">
      <alignment vertical="center" wrapText="1"/>
    </xf>
    <xf numFmtId="0" fontId="75" fillId="5" borderId="87" xfId="0" applyFont="1" applyFill="1" applyBorder="1" applyAlignment="1" applyProtection="1"/>
    <xf numFmtId="0" fontId="75" fillId="5" borderId="19" xfId="0" applyFont="1" applyFill="1" applyBorder="1" applyAlignment="1" applyProtection="1"/>
    <xf numFmtId="0" fontId="75" fillId="5" borderId="63" xfId="0" applyFont="1" applyFill="1" applyBorder="1" applyAlignment="1" applyProtection="1"/>
    <xf numFmtId="185" fontId="80" fillId="5" borderId="29" xfId="0" applyNumberFormat="1" applyFont="1" applyFill="1" applyBorder="1" applyAlignment="1" applyProtection="1">
      <alignment horizontal="center"/>
    </xf>
    <xf numFmtId="0" fontId="81" fillId="5" borderId="45" xfId="0" applyFont="1" applyFill="1" applyBorder="1" applyAlignment="1" applyProtection="1"/>
    <xf numFmtId="185" fontId="157" fillId="0" borderId="44" xfId="0" applyNumberFormat="1" applyFont="1" applyFill="1" applyBorder="1" applyAlignment="1" applyProtection="1">
      <alignment horizontal="center"/>
      <protection locked="0"/>
    </xf>
    <xf numFmtId="185" fontId="81" fillId="0" borderId="44" xfId="0" applyNumberFormat="1" applyFont="1" applyFill="1" applyBorder="1" applyAlignment="1" applyProtection="1">
      <alignment horizontal="center"/>
      <protection locked="0"/>
    </xf>
    <xf numFmtId="185" fontId="81" fillId="0" borderId="46" xfId="0" applyNumberFormat="1" applyFont="1" applyFill="1" applyBorder="1" applyAlignment="1" applyProtection="1">
      <alignment horizontal="center"/>
      <protection locked="0"/>
    </xf>
    <xf numFmtId="178" fontId="81" fillId="5" borderId="44" xfId="0" applyNumberFormat="1" applyFont="1" applyFill="1" applyBorder="1" applyAlignment="1" applyProtection="1">
      <alignment horizontal="center" vertical="center" wrapText="1"/>
    </xf>
    <xf numFmtId="186" fontId="81" fillId="5" borderId="44" xfId="0" applyNumberFormat="1" applyFont="1" applyFill="1" applyBorder="1" applyAlignment="1" applyProtection="1">
      <alignment horizontal="center" vertical="center"/>
    </xf>
    <xf numFmtId="10" fontId="81" fillId="5" borderId="44" xfId="0" applyNumberFormat="1" applyFont="1" applyFill="1" applyBorder="1" applyAlignment="1" applyProtection="1">
      <alignment horizontal="center" vertical="center" wrapText="1"/>
    </xf>
    <xf numFmtId="49" fontId="81" fillId="5" borderId="11" xfId="0" applyNumberFormat="1" applyFont="1" applyFill="1" applyBorder="1" applyAlignment="1" applyProtection="1">
      <alignment horizontal="left"/>
    </xf>
    <xf numFmtId="49" fontId="81" fillId="5" borderId="43" xfId="0" applyNumberFormat="1" applyFont="1" applyFill="1" applyBorder="1" applyAlignment="1" applyProtection="1">
      <alignment horizontal="left"/>
    </xf>
    <xf numFmtId="49" fontId="81" fillId="5" borderId="11" xfId="2" applyNumberFormat="1" applyFont="1" applyFill="1" applyBorder="1" applyAlignment="1" applyProtection="1">
      <alignment horizontal="left"/>
    </xf>
    <xf numFmtId="49" fontId="80" fillId="5" borderId="11" xfId="2" applyNumberFormat="1" applyFont="1" applyFill="1" applyBorder="1" applyAlignment="1" applyProtection="1">
      <alignment horizontal="left"/>
    </xf>
    <xf numFmtId="49" fontId="80" fillId="5" borderId="11" xfId="0" applyNumberFormat="1" applyFont="1" applyFill="1" applyBorder="1" applyAlignment="1" applyProtection="1">
      <alignment horizontal="left" vertical="center" wrapText="1"/>
    </xf>
    <xf numFmtId="49" fontId="81" fillId="5" borderId="43" xfId="0" applyNumberFormat="1" applyFont="1" applyFill="1" applyBorder="1" applyAlignment="1" applyProtection="1">
      <alignment horizontal="left" vertical="center" wrapText="1"/>
    </xf>
    <xf numFmtId="49" fontId="138" fillId="5" borderId="11" xfId="2" applyNumberFormat="1" applyFont="1" applyFill="1" applyBorder="1" applyAlignment="1" applyProtection="1">
      <alignment horizontal="left"/>
    </xf>
    <xf numFmtId="49" fontId="140" fillId="5" borderId="10" xfId="0" applyNumberFormat="1" applyFont="1" applyFill="1" applyBorder="1" applyAlignment="1" applyProtection="1">
      <alignment horizontal="left" vertical="center" wrapText="1"/>
    </xf>
    <xf numFmtId="49" fontId="141" fillId="5" borderId="33" xfId="0" applyNumberFormat="1" applyFont="1" applyFill="1" applyBorder="1" applyAlignment="1" applyProtection="1">
      <alignment horizontal="center" vertical="center" wrapText="1"/>
    </xf>
    <xf numFmtId="49" fontId="140" fillId="5" borderId="33" xfId="0" applyNumberFormat="1" applyFont="1" applyFill="1" applyBorder="1" applyAlignment="1" applyProtection="1">
      <alignment horizontal="left" vertical="center" wrapText="1"/>
    </xf>
    <xf numFmtId="49" fontId="140" fillId="5" borderId="53" xfId="0" applyNumberFormat="1" applyFont="1" applyFill="1" applyBorder="1" applyAlignment="1" applyProtection="1">
      <alignment horizontal="left" vertical="center" wrapText="1"/>
    </xf>
    <xf numFmtId="49" fontId="140" fillId="5" borderId="1" xfId="0" applyNumberFormat="1" applyFont="1" applyFill="1" applyBorder="1" applyAlignment="1" applyProtection="1">
      <alignment horizontal="left" vertical="center" wrapText="1"/>
    </xf>
    <xf numFmtId="49" fontId="25" fillId="5" borderId="22" xfId="0" applyNumberFormat="1" applyFont="1" applyFill="1" applyBorder="1" applyAlignment="1" applyProtection="1">
      <alignment horizontal="center" vertical="center" wrapText="1"/>
    </xf>
    <xf numFmtId="49" fontId="102" fillId="5" borderId="2" xfId="2" applyNumberFormat="1" applyFont="1" applyFill="1" applyBorder="1" applyAlignment="1" applyProtection="1">
      <alignment vertical="center"/>
    </xf>
    <xf numFmtId="49" fontId="62" fillId="5" borderId="2" xfId="2" applyNumberFormat="1" applyFont="1" applyFill="1" applyBorder="1" applyAlignment="1" applyProtection="1">
      <alignment vertical="center"/>
    </xf>
    <xf numFmtId="49" fontId="88" fillId="5" borderId="3" xfId="0" applyNumberFormat="1" applyFont="1" applyFill="1" applyBorder="1" applyAlignment="1" applyProtection="1">
      <alignment vertical="center"/>
    </xf>
    <xf numFmtId="49" fontId="102" fillId="5" borderId="0" xfId="2" applyNumberFormat="1" applyFont="1" applyFill="1" applyBorder="1" applyAlignment="1" applyProtection="1">
      <alignment vertical="center"/>
    </xf>
    <xf numFmtId="49" fontId="81" fillId="5" borderId="11" xfId="0" applyNumberFormat="1" applyFont="1" applyFill="1" applyBorder="1" applyAlignment="1" applyProtection="1">
      <alignment horizontal="right" vertical="center"/>
    </xf>
    <xf numFmtId="49" fontId="81" fillId="5" borderId="11" xfId="0" applyNumberFormat="1" applyFont="1" applyFill="1" applyBorder="1" applyAlignment="1" applyProtection="1">
      <alignment horizontal="center" vertical="center"/>
    </xf>
    <xf numFmtId="49" fontId="87" fillId="5" borderId="11" xfId="0" applyNumberFormat="1" applyFont="1" applyFill="1" applyBorder="1" applyAlignment="1" applyProtection="1">
      <alignment horizontal="center" vertical="center"/>
    </xf>
    <xf numFmtId="49" fontId="81" fillId="5" borderId="22" xfId="0" applyNumberFormat="1" applyFont="1" applyFill="1" applyBorder="1" applyAlignment="1" applyProtection="1">
      <alignment horizontal="right" vertical="center"/>
    </xf>
    <xf numFmtId="0" fontId="45" fillId="5" borderId="2" xfId="3" applyNumberFormat="1" applyFont="1" applyFill="1" applyBorder="1" applyAlignment="1" applyProtection="1">
      <alignment horizontal="center" vertical="center" wrapText="1"/>
    </xf>
    <xf numFmtId="0" fontId="91" fillId="5" borderId="2" xfId="3" applyNumberFormat="1" applyFont="1" applyFill="1" applyBorder="1" applyAlignment="1" applyProtection="1">
      <alignment horizontal="center" vertical="center" wrapText="1"/>
    </xf>
    <xf numFmtId="0" fontId="190" fillId="0" borderId="0" xfId="7" applyFont="1">
      <alignment vertical="center"/>
    </xf>
    <xf numFmtId="0" fontId="150" fillId="0" borderId="0" xfId="7">
      <alignment vertical="center"/>
    </xf>
    <xf numFmtId="0" fontId="190" fillId="0" borderId="0" xfId="7" applyFont="1" applyAlignment="1">
      <alignment vertical="top" wrapText="1"/>
    </xf>
    <xf numFmtId="0" fontId="83" fillId="5" borderId="33"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2" xfId="0" applyFont="1" applyFill="1" applyBorder="1" applyAlignment="1" applyProtection="1">
      <alignment horizontal="left" vertical="center"/>
    </xf>
    <xf numFmtId="14" fontId="83" fillId="0" borderId="10" xfId="0" applyNumberFormat="1" applyFont="1" applyFill="1" applyBorder="1" applyAlignment="1" applyProtection="1">
      <alignment horizontal="left" vertical="center"/>
      <protection locked="0"/>
    </xf>
    <xf numFmtId="0" fontId="83" fillId="5" borderId="10" xfId="0" applyFont="1" applyFill="1" applyBorder="1" applyAlignment="1" applyProtection="1">
      <alignment vertical="center" wrapText="1"/>
    </xf>
    <xf numFmtId="0" fontId="83" fillId="5" borderId="71" xfId="0" applyFont="1" applyFill="1" applyBorder="1" applyAlignment="1" applyProtection="1">
      <alignment horizontal="left" vertical="center"/>
    </xf>
    <xf numFmtId="0" fontId="83" fillId="5" borderId="17" xfId="0" applyFont="1" applyFill="1" applyBorder="1" applyAlignment="1" applyProtection="1">
      <alignment vertical="center" wrapText="1"/>
    </xf>
    <xf numFmtId="0" fontId="83" fillId="8" borderId="19" xfId="0" applyFont="1" applyFill="1" applyBorder="1" applyAlignment="1" applyProtection="1">
      <alignment vertical="center" wrapText="1"/>
    </xf>
    <xf numFmtId="0" fontId="83" fillId="8" borderId="20" xfId="0" applyFont="1" applyFill="1" applyBorder="1" applyAlignment="1" applyProtection="1">
      <alignment vertical="center" wrapText="1"/>
    </xf>
    <xf numFmtId="0" fontId="83" fillId="8" borderId="32" xfId="0" applyFont="1" applyFill="1" applyBorder="1" applyAlignment="1" applyProtection="1">
      <alignment vertical="center" wrapText="1"/>
    </xf>
    <xf numFmtId="0" fontId="83" fillId="5" borderId="4" xfId="0" applyFont="1" applyFill="1" applyBorder="1" applyAlignment="1" applyProtection="1">
      <alignment vertical="center" wrapText="1"/>
    </xf>
    <xf numFmtId="0" fontId="83" fillId="6" borderId="5" xfId="0" applyFont="1" applyFill="1" applyBorder="1" applyAlignment="1" applyProtection="1">
      <alignment horizontal="left" vertical="center" wrapText="1"/>
      <protection locked="0"/>
    </xf>
    <xf numFmtId="0" fontId="83" fillId="6" borderId="8" xfId="0" applyFont="1" applyFill="1" applyBorder="1" applyAlignment="1" applyProtection="1">
      <alignment vertical="center" wrapText="1"/>
    </xf>
    <xf numFmtId="0" fontId="83" fillId="6" borderId="9" xfId="0" applyFont="1" applyFill="1" applyBorder="1" applyAlignment="1" applyProtection="1">
      <alignment vertical="center" wrapText="1"/>
    </xf>
    <xf numFmtId="0" fontId="83" fillId="5" borderId="84" xfId="0" applyFont="1" applyFill="1" applyBorder="1" applyAlignment="1" applyProtection="1">
      <alignment vertical="center" wrapText="1"/>
    </xf>
    <xf numFmtId="0" fontId="83" fillId="6" borderId="84" xfId="0" applyFont="1" applyFill="1" applyBorder="1" applyAlignment="1" applyProtection="1">
      <alignment horizontal="left" vertical="center"/>
      <protection locked="0"/>
    </xf>
    <xf numFmtId="0" fontId="83" fillId="6" borderId="85" xfId="0" applyFont="1" applyFill="1" applyBorder="1" applyAlignment="1" applyProtection="1">
      <alignment vertical="center" wrapText="1"/>
    </xf>
    <xf numFmtId="49" fontId="83" fillId="5" borderId="21" xfId="0" applyNumberFormat="1" applyFont="1" applyFill="1" applyBorder="1" applyAlignment="1" applyProtection="1">
      <alignment horizontal="left" vertical="center" wrapText="1"/>
    </xf>
    <xf numFmtId="49" fontId="191" fillId="0" borderId="17" xfId="0" applyNumberFormat="1" applyFont="1" applyFill="1" applyBorder="1" applyAlignment="1" applyProtection="1">
      <alignment horizontal="left" vertical="center"/>
      <protection locked="0"/>
    </xf>
    <xf numFmtId="49" fontId="83" fillId="5" borderId="10" xfId="0" applyNumberFormat="1" applyFont="1" applyFill="1" applyBorder="1" applyAlignment="1" applyProtection="1">
      <alignment horizontal="left" vertical="center" wrapText="1"/>
    </xf>
    <xf numFmtId="0" fontId="83" fillId="6" borderId="10" xfId="0" applyFont="1" applyFill="1" applyBorder="1" applyAlignment="1" applyProtection="1">
      <alignment horizontal="center" vertical="center" wrapText="1"/>
      <protection locked="0"/>
    </xf>
    <xf numFmtId="0" fontId="83" fillId="2" borderId="3" xfId="0" applyFont="1" applyFill="1" applyBorder="1" applyAlignment="1" applyProtection="1">
      <alignment horizontal="left" vertical="center" wrapText="1"/>
    </xf>
    <xf numFmtId="0" fontId="83" fillId="5" borderId="19" xfId="0" applyFont="1" applyFill="1" applyBorder="1" applyAlignment="1" applyProtection="1">
      <alignment vertical="center" wrapText="1"/>
    </xf>
    <xf numFmtId="178" fontId="83" fillId="6" borderId="2" xfId="2" applyNumberFormat="1" applyFont="1" applyFill="1" applyBorder="1" applyAlignment="1" applyProtection="1">
      <alignment horizontal="center" vertical="center"/>
      <protection locked="0"/>
    </xf>
    <xf numFmtId="180"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left" vertical="center" wrapText="1"/>
    </xf>
    <xf numFmtId="0" fontId="83" fillId="5" borderId="65" xfId="0" applyFont="1" applyFill="1" applyBorder="1" applyAlignment="1" applyProtection="1">
      <alignment vertical="center" wrapText="1"/>
    </xf>
    <xf numFmtId="0" fontId="83" fillId="5" borderId="88" xfId="0" applyFont="1" applyFill="1" applyBorder="1" applyAlignment="1" applyProtection="1">
      <alignment vertical="center" wrapText="1"/>
    </xf>
    <xf numFmtId="0" fontId="145" fillId="6" borderId="2" xfId="0" applyFont="1" applyFill="1" applyBorder="1" applyAlignment="1" applyProtection="1">
      <alignment horizontal="center" vertical="center" wrapText="1"/>
      <protection locked="0"/>
    </xf>
    <xf numFmtId="0" fontId="83" fillId="0" borderId="0" xfId="0" applyFont="1" applyAlignment="1" applyProtection="1">
      <alignment vertical="center" wrapText="1"/>
    </xf>
    <xf numFmtId="49" fontId="83" fillId="0" borderId="0" xfId="0" applyNumberFormat="1" applyFont="1" applyAlignment="1" applyProtection="1">
      <alignment horizontal="center" vertical="center" wrapText="1"/>
    </xf>
    <xf numFmtId="0" fontId="83" fillId="0" borderId="0" xfId="0" applyFont="1" applyAlignment="1" applyProtection="1">
      <alignment horizontal="center" vertical="center" wrapText="1"/>
    </xf>
    <xf numFmtId="0" fontId="83" fillId="5" borderId="0" xfId="0" applyFont="1" applyFill="1" applyAlignment="1" applyProtection="1">
      <alignment vertical="center" wrapText="1"/>
    </xf>
    <xf numFmtId="0" fontId="83" fillId="5" borderId="0" xfId="0" applyFont="1" applyFill="1" applyAlignment="1" applyProtection="1">
      <alignment horizontal="center" vertical="center" wrapText="1"/>
    </xf>
    <xf numFmtId="0" fontId="83" fillId="0" borderId="2" xfId="0" applyFont="1" applyBorder="1" applyAlignment="1" applyProtection="1">
      <alignment vertical="center" wrapText="1"/>
    </xf>
    <xf numFmtId="0" fontId="83" fillId="5" borderId="5" xfId="0" applyFont="1" applyFill="1" applyBorder="1" applyAlignment="1" applyProtection="1">
      <alignment vertical="center"/>
    </xf>
    <xf numFmtId="0" fontId="83" fillId="2" borderId="32" xfId="0" applyFont="1" applyFill="1" applyBorder="1" applyAlignment="1" applyProtection="1">
      <alignment horizontal="left" vertical="center" wrapText="1"/>
      <protection locked="0"/>
    </xf>
    <xf numFmtId="0" fontId="83" fillId="5" borderId="2" xfId="0" applyFont="1" applyFill="1" applyBorder="1" applyAlignment="1" applyProtection="1">
      <alignment vertical="center" wrapText="1"/>
    </xf>
    <xf numFmtId="184" fontId="83" fillId="0" borderId="2" xfId="0" applyNumberFormat="1" applyFont="1" applyFill="1" applyBorder="1" applyAlignment="1" applyProtection="1">
      <alignment horizontal="center" vertical="center" shrinkToFit="1"/>
      <protection locked="0"/>
    </xf>
    <xf numFmtId="0" fontId="83" fillId="5" borderId="3" xfId="0" applyFont="1" applyFill="1" applyBorder="1" applyAlignment="1" applyProtection="1">
      <alignment vertical="center"/>
    </xf>
    <xf numFmtId="0" fontId="83" fillId="6" borderId="3" xfId="0" applyFont="1" applyFill="1" applyBorder="1" applyAlignment="1" applyProtection="1">
      <alignment horizontal="center" vertical="center" wrapText="1"/>
      <protection locked="0"/>
    </xf>
    <xf numFmtId="0" fontId="83" fillId="5" borderId="55" xfId="0" applyFont="1" applyFill="1" applyBorder="1" applyAlignment="1" applyProtection="1">
      <alignment horizontal="center" vertical="center" wrapText="1"/>
    </xf>
    <xf numFmtId="0" fontId="83" fillId="6" borderId="55" xfId="0" applyFont="1" applyFill="1" applyBorder="1" applyAlignment="1" applyProtection="1">
      <alignment horizontal="center" vertical="center" wrapText="1"/>
      <protection locked="0"/>
    </xf>
    <xf numFmtId="0" fontId="192" fillId="5" borderId="55" xfId="0" applyFont="1" applyFill="1" applyBorder="1" applyAlignment="1" applyProtection="1">
      <alignment vertical="center" wrapText="1"/>
    </xf>
    <xf numFmtId="0" fontId="83" fillId="6" borderId="69" xfId="0"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wrapText="1"/>
    </xf>
    <xf numFmtId="0" fontId="83" fillId="5" borderId="35" xfId="0" applyFont="1" applyFill="1" applyBorder="1" applyAlignment="1" applyProtection="1">
      <alignment vertical="center"/>
    </xf>
    <xf numFmtId="0" fontId="83" fillId="6" borderId="12" xfId="0" applyFont="1" applyFill="1" applyBorder="1" applyAlignment="1" applyProtection="1">
      <alignment horizontal="center" vertical="center" wrapText="1"/>
      <protection locked="0"/>
    </xf>
    <xf numFmtId="0" fontId="191" fillId="0" borderId="11" xfId="0" applyFont="1" applyBorder="1" applyAlignment="1" applyProtection="1">
      <alignment vertical="center" wrapText="1"/>
      <protection locked="0"/>
    </xf>
    <xf numFmtId="0" fontId="83" fillId="6" borderId="5" xfId="0" applyFont="1" applyFill="1" applyBorder="1" applyAlignment="1" applyProtection="1">
      <alignment horizontal="center" vertical="center" wrapText="1"/>
      <protection locked="0"/>
    </xf>
    <xf numFmtId="0" fontId="83" fillId="0" borderId="89" xfId="0" applyFont="1" applyBorder="1" applyAlignment="1" applyProtection="1">
      <alignment vertical="center" wrapText="1"/>
      <protection locked="0"/>
    </xf>
    <xf numFmtId="184" fontId="191" fillId="0" borderId="12" xfId="0" applyNumberFormat="1" applyFont="1" applyFill="1" applyBorder="1" applyAlignment="1" applyProtection="1">
      <alignment horizontal="left" vertical="center" shrinkToFit="1"/>
      <protection locked="0"/>
    </xf>
    <xf numFmtId="184" fontId="191" fillId="0" borderId="57" xfId="0" applyNumberFormat="1" applyFont="1" applyFill="1" applyBorder="1" applyAlignment="1" applyProtection="1">
      <alignment horizontal="left" vertical="center" shrinkToFit="1"/>
      <protection locked="0"/>
    </xf>
    <xf numFmtId="0" fontId="191" fillId="0" borderId="12" xfId="0" applyFont="1" applyFill="1" applyBorder="1" applyAlignment="1" applyProtection="1">
      <alignment horizontal="left" vertical="center" wrapText="1"/>
      <protection locked="0"/>
    </xf>
    <xf numFmtId="0" fontId="191" fillId="0" borderId="16" xfId="0" applyFont="1" applyFill="1" applyBorder="1" applyAlignment="1" applyProtection="1">
      <alignment horizontal="left" vertical="center" wrapText="1"/>
      <protection locked="0"/>
    </xf>
    <xf numFmtId="0" fontId="191" fillId="0" borderId="72" xfId="0" applyFont="1" applyFill="1" applyBorder="1" applyAlignment="1" applyProtection="1">
      <alignment horizontal="left" vertical="center" wrapText="1"/>
      <protection locked="0"/>
    </xf>
    <xf numFmtId="0" fontId="191" fillId="0" borderId="90" xfId="0" applyFont="1" applyFill="1" applyBorder="1" applyAlignment="1" applyProtection="1">
      <alignment horizontal="left" vertical="center" wrapText="1"/>
      <protection locked="0"/>
    </xf>
    <xf numFmtId="0" fontId="83" fillId="2" borderId="20" xfId="0" applyFont="1" applyFill="1" applyBorder="1" applyAlignment="1" applyProtection="1">
      <alignment horizontal="left" vertical="center" wrapText="1"/>
      <protection locked="0"/>
    </xf>
    <xf numFmtId="0" fontId="83" fillId="0" borderId="21" xfId="0" applyFont="1" applyBorder="1" applyAlignment="1" applyProtection="1">
      <alignment horizontal="left" vertical="center" wrapText="1"/>
      <protection locked="0"/>
    </xf>
    <xf numFmtId="0" fontId="83" fillId="2" borderId="5" xfId="0" applyFont="1" applyFill="1" applyBorder="1" applyAlignment="1" applyProtection="1">
      <alignment vertical="center"/>
      <protection locked="0"/>
    </xf>
    <xf numFmtId="0" fontId="83" fillId="6" borderId="2" xfId="0" applyFont="1" applyFill="1" applyBorder="1" applyAlignment="1" applyProtection="1">
      <alignment vertical="center" wrapText="1"/>
      <protection locked="0"/>
    </xf>
    <xf numFmtId="49" fontId="83" fillId="5" borderId="0" xfId="0" applyNumberFormat="1" applyFont="1" applyFill="1" applyAlignment="1" applyProtection="1">
      <alignment horizontal="center" vertical="center" wrapText="1"/>
    </xf>
    <xf numFmtId="0" fontId="83" fillId="5" borderId="5" xfId="0" applyFont="1" applyFill="1" applyBorder="1" applyAlignment="1" applyProtection="1">
      <alignment vertical="center" wrapText="1"/>
    </xf>
    <xf numFmtId="14" fontId="83" fillId="0" borderId="17" xfId="0" applyNumberFormat="1" applyFont="1" applyBorder="1" applyAlignment="1" applyProtection="1">
      <alignment vertical="center" wrapText="1"/>
      <protection locked="0"/>
    </xf>
    <xf numFmtId="0" fontId="83" fillId="5" borderId="20" xfId="0" applyFont="1" applyFill="1" applyBorder="1" applyAlignment="1" applyProtection="1">
      <alignment vertical="center" wrapText="1"/>
    </xf>
    <xf numFmtId="0" fontId="83" fillId="5" borderId="18" xfId="0" applyFont="1" applyFill="1" applyBorder="1" applyAlignment="1" applyProtection="1">
      <alignment vertical="center"/>
    </xf>
    <xf numFmtId="0" fontId="83" fillId="5" borderId="8" xfId="0" applyFont="1" applyFill="1" applyBorder="1" applyAlignment="1" applyProtection="1">
      <alignment vertical="center"/>
    </xf>
    <xf numFmtId="0" fontId="83" fillId="5" borderId="9" xfId="0" applyFont="1" applyFill="1" applyBorder="1" applyAlignment="1" applyProtection="1">
      <alignment vertical="center" wrapText="1"/>
    </xf>
    <xf numFmtId="0" fontId="83" fillId="0" borderId="2" xfId="0" applyFont="1" applyBorder="1" applyAlignment="1" applyProtection="1">
      <alignment horizontal="center" vertical="center" wrapText="1"/>
    </xf>
    <xf numFmtId="192" fontId="83" fillId="5" borderId="2" xfId="0" applyNumberFormat="1" applyFont="1" applyFill="1" applyBorder="1" applyAlignment="1" applyProtection="1">
      <alignment vertical="center" wrapText="1"/>
    </xf>
    <xf numFmtId="0" fontId="83" fillId="5" borderId="9" xfId="0" applyNumberFormat="1" applyFont="1" applyFill="1" applyBorder="1" applyAlignment="1" applyProtection="1">
      <alignment horizontal="center" vertical="center" wrapText="1"/>
    </xf>
    <xf numFmtId="0" fontId="83" fillId="5" borderId="2" xfId="0" applyFont="1" applyFill="1" applyBorder="1" applyAlignment="1" applyProtection="1">
      <alignment vertical="center"/>
    </xf>
    <xf numFmtId="0" fontId="83" fillId="0" borderId="2" xfId="0" applyFont="1" applyBorder="1" applyAlignment="1" applyProtection="1">
      <alignment vertical="center"/>
    </xf>
    <xf numFmtId="0" fontId="83" fillId="5" borderId="3" xfId="0" applyFont="1" applyFill="1" applyBorder="1" applyAlignment="1" applyProtection="1">
      <alignment vertical="center" wrapText="1"/>
    </xf>
    <xf numFmtId="0" fontId="83" fillId="0" borderId="2" xfId="0" applyFont="1" applyBorder="1" applyAlignment="1" applyProtection="1">
      <alignment horizontal="center" vertical="center" wrapText="1"/>
      <protection locked="0"/>
    </xf>
    <xf numFmtId="0" fontId="83" fillId="5" borderId="21" xfId="0" applyFont="1" applyFill="1" applyBorder="1" applyAlignment="1" applyProtection="1">
      <alignment vertical="center" wrapText="1"/>
    </xf>
    <xf numFmtId="49" fontId="83" fillId="6" borderId="2" xfId="0" applyNumberFormat="1" applyFont="1" applyFill="1" applyBorder="1" applyAlignment="1" applyProtection="1">
      <alignment horizontal="center" vertical="center" wrapText="1"/>
      <protection locked="0"/>
    </xf>
    <xf numFmtId="49" fontId="83" fillId="0" borderId="2" xfId="0" applyNumberFormat="1" applyFont="1" applyFill="1" applyBorder="1" applyAlignment="1" applyProtection="1">
      <alignment horizontal="center" vertical="center" wrapText="1"/>
      <protection locked="0"/>
    </xf>
    <xf numFmtId="0" fontId="51" fillId="5" borderId="5" xfId="0" applyFont="1" applyFill="1" applyBorder="1" applyAlignment="1" applyProtection="1">
      <alignment vertical="center"/>
    </xf>
    <xf numFmtId="0" fontId="83" fillId="5" borderId="8" xfId="0" applyFont="1" applyFill="1" applyBorder="1" applyAlignment="1" applyProtection="1">
      <alignment vertical="center" wrapText="1"/>
    </xf>
    <xf numFmtId="0" fontId="83" fillId="5" borderId="91" xfId="0" applyFont="1" applyFill="1" applyBorder="1" applyAlignment="1" applyProtection="1">
      <alignment vertical="center" wrapText="1"/>
    </xf>
    <xf numFmtId="0" fontId="83" fillId="5" borderId="91" xfId="0" applyFont="1" applyFill="1" applyBorder="1" applyAlignment="1" applyProtection="1">
      <alignment horizontal="center" vertical="center" wrapText="1"/>
    </xf>
    <xf numFmtId="0" fontId="83" fillId="5" borderId="17" xfId="0" applyFont="1" applyFill="1" applyBorder="1" applyAlignment="1" applyProtection="1">
      <alignment horizontal="left" vertical="center"/>
    </xf>
    <xf numFmtId="0" fontId="83" fillId="0" borderId="19" xfId="0" applyFont="1" applyFill="1" applyBorder="1" applyAlignment="1" applyProtection="1">
      <alignment vertical="center" wrapText="1"/>
    </xf>
    <xf numFmtId="0" fontId="83" fillId="8" borderId="19" xfId="0" applyFont="1" applyFill="1" applyBorder="1" applyAlignment="1" applyProtection="1">
      <alignment horizontal="center" vertical="center" wrapText="1"/>
    </xf>
    <xf numFmtId="0" fontId="83" fillId="6" borderId="86" xfId="0" applyFont="1" applyFill="1" applyBorder="1" applyAlignment="1" applyProtection="1">
      <alignment vertical="center" wrapText="1"/>
    </xf>
    <xf numFmtId="0" fontId="83" fillId="6" borderId="9" xfId="0" applyFont="1" applyFill="1" applyBorder="1" applyAlignment="1" applyProtection="1">
      <alignment horizontal="center" vertical="center" wrapText="1"/>
      <protection locked="0"/>
    </xf>
    <xf numFmtId="0" fontId="83" fillId="6" borderId="9" xfId="0" applyFont="1" applyFill="1" applyBorder="1" applyAlignment="1" applyProtection="1">
      <alignment horizontal="center" vertical="center" wrapText="1" shrinkToFit="1"/>
      <protection locked="0"/>
    </xf>
    <xf numFmtId="0" fontId="83" fillId="5" borderId="10" xfId="0" applyFont="1" applyFill="1" applyBorder="1" applyAlignment="1" applyProtection="1">
      <alignment horizontal="right" vertical="center" wrapText="1"/>
    </xf>
    <xf numFmtId="0" fontId="83" fillId="5" borderId="3" xfId="0" applyFont="1" applyFill="1" applyBorder="1" applyAlignment="1" applyProtection="1">
      <alignment horizontal="right" vertical="center" wrapText="1"/>
    </xf>
    <xf numFmtId="0" fontId="83" fillId="5" borderId="21" xfId="0" applyFont="1" applyFill="1" applyBorder="1" applyAlignment="1" applyProtection="1">
      <alignment horizontal="right" vertical="center" wrapText="1"/>
    </xf>
    <xf numFmtId="0" fontId="83" fillId="5" borderId="9" xfId="0" applyFont="1" applyFill="1" applyBorder="1" applyAlignment="1" applyProtection="1">
      <alignment horizontal="right" vertical="center" wrapText="1"/>
    </xf>
    <xf numFmtId="0" fontId="83" fillId="5" borderId="86" xfId="0" applyFont="1" applyFill="1" applyBorder="1" applyAlignment="1" applyProtection="1">
      <alignment horizontal="right" vertical="center" wrapText="1"/>
    </xf>
    <xf numFmtId="0" fontId="83" fillId="5" borderId="22" xfId="0" applyFont="1" applyFill="1" applyBorder="1" applyAlignment="1" applyProtection="1">
      <alignment horizontal="right" vertical="center" wrapText="1"/>
    </xf>
    <xf numFmtId="0" fontId="83" fillId="5" borderId="24" xfId="0" applyFont="1" applyFill="1" applyBorder="1" applyAlignment="1" applyProtection="1">
      <alignment horizontal="left" vertical="center" wrapText="1"/>
    </xf>
    <xf numFmtId="0" fontId="83" fillId="5" borderId="92" xfId="0" applyFont="1" applyFill="1" applyBorder="1" applyAlignment="1" applyProtection="1">
      <alignment horizontal="left" vertical="center" wrapText="1"/>
    </xf>
    <xf numFmtId="180" fontId="83" fillId="5" borderId="10" xfId="0" applyNumberFormat="1" applyFont="1" applyFill="1" applyBorder="1" applyAlignment="1" applyProtection="1">
      <alignment horizontal="center" vertical="center" wrapText="1"/>
    </xf>
    <xf numFmtId="0" fontId="83" fillId="5" borderId="21" xfId="0" applyFont="1" applyFill="1" applyBorder="1" applyAlignment="1" applyProtection="1">
      <alignment horizontal="center" vertical="center" wrapText="1"/>
    </xf>
    <xf numFmtId="0" fontId="83" fillId="5" borderId="21" xfId="0" applyFont="1" applyFill="1" applyBorder="1" applyAlignment="1" applyProtection="1">
      <alignment horizontal="left" vertical="center" wrapText="1"/>
    </xf>
    <xf numFmtId="0" fontId="83" fillId="8" borderId="8" xfId="0" applyFont="1" applyFill="1" applyBorder="1" applyAlignment="1" applyProtection="1">
      <alignment vertical="center" wrapText="1"/>
    </xf>
    <xf numFmtId="0" fontId="83" fillId="8" borderId="9" xfId="0" applyFont="1" applyFill="1" applyBorder="1" applyAlignment="1" applyProtection="1">
      <alignment vertical="center" wrapText="1"/>
    </xf>
    <xf numFmtId="0" fontId="83" fillId="5" borderId="3" xfId="0" applyFont="1" applyFill="1" applyBorder="1" applyAlignment="1" applyProtection="1">
      <alignment horizontal="left" vertical="center"/>
    </xf>
    <xf numFmtId="0" fontId="83" fillId="5" borderId="21" xfId="0" applyFont="1" applyFill="1" applyBorder="1" applyAlignment="1" applyProtection="1">
      <alignment horizontal="left" vertical="center"/>
    </xf>
    <xf numFmtId="0" fontId="83" fillId="5" borderId="10" xfId="0" applyFont="1" applyFill="1" applyBorder="1" applyAlignment="1" applyProtection="1">
      <alignment horizontal="left" vertical="center" wrapText="1"/>
    </xf>
    <xf numFmtId="49" fontId="83" fillId="5" borderId="2" xfId="0" applyNumberFormat="1" applyFont="1" applyFill="1" applyBorder="1" applyAlignment="1" applyProtection="1">
      <alignment horizontal="center" vertical="center" wrapText="1"/>
    </xf>
    <xf numFmtId="0" fontId="170" fillId="5" borderId="0" xfId="0" applyFont="1" applyFill="1" applyBorder="1" applyAlignment="1" applyProtection="1">
      <alignment horizontal="left" vertical="center"/>
    </xf>
    <xf numFmtId="0" fontId="170" fillId="5" borderId="0" xfId="0" applyFont="1" applyFill="1" applyProtection="1">
      <alignment vertical="center"/>
    </xf>
    <xf numFmtId="0" fontId="170" fillId="5" borderId="0" xfId="0" applyFont="1" applyFill="1" applyAlignment="1" applyProtection="1">
      <alignment horizontal="center" vertical="center"/>
    </xf>
    <xf numFmtId="0" fontId="170" fillId="5" borderId="0" xfId="0" applyFont="1" applyFill="1" applyBorder="1" applyAlignment="1" applyProtection="1">
      <alignment horizontal="center" vertical="center"/>
    </xf>
    <xf numFmtId="0" fontId="172" fillId="0" borderId="0" xfId="0" applyFont="1" applyBorder="1" applyAlignment="1" applyProtection="1">
      <alignment horizontal="center" vertical="center"/>
    </xf>
    <xf numFmtId="49" fontId="83" fillId="5" borderId="5" xfId="0" applyNumberFormat="1" applyFont="1" applyFill="1" applyBorder="1" applyAlignment="1" applyProtection="1">
      <alignment horizontal="center" vertical="center" wrapText="1"/>
    </xf>
    <xf numFmtId="49" fontId="83" fillId="0" borderId="13" xfId="0" applyNumberFormat="1" applyFont="1" applyBorder="1" applyAlignment="1" applyProtection="1">
      <alignment horizontal="center" vertical="center" wrapText="1"/>
    </xf>
    <xf numFmtId="49" fontId="83" fillId="5" borderId="13" xfId="0" applyNumberFormat="1" applyFont="1" applyFill="1" applyBorder="1" applyAlignment="1" applyProtection="1">
      <alignment horizontal="center" vertical="center" wrapText="1"/>
    </xf>
    <xf numFmtId="49" fontId="83" fillId="5" borderId="13" xfId="0" applyNumberFormat="1" applyFont="1" applyFill="1" applyBorder="1" applyAlignment="1" applyProtection="1">
      <alignment horizontal="left" vertical="center"/>
    </xf>
    <xf numFmtId="0" fontId="83" fillId="5" borderId="5" xfId="0" applyFont="1" applyFill="1" applyBorder="1" applyAlignment="1" applyProtection="1">
      <alignment horizontal="left" vertical="center" wrapText="1"/>
    </xf>
    <xf numFmtId="0" fontId="193" fillId="5" borderId="0" xfId="0" applyFont="1" applyFill="1" applyProtection="1">
      <alignment vertical="center"/>
    </xf>
    <xf numFmtId="0" fontId="16" fillId="5" borderId="0" xfId="0" applyFont="1" applyFill="1" applyProtection="1">
      <alignment vertical="center"/>
    </xf>
    <xf numFmtId="0" fontId="194" fillId="0" borderId="0" xfId="0" applyFont="1" applyBorder="1" applyAlignment="1" applyProtection="1">
      <alignment horizontal="center" vertical="center"/>
    </xf>
    <xf numFmtId="0" fontId="165" fillId="0" borderId="0" xfId="0" applyFont="1" applyProtection="1">
      <alignment vertical="center"/>
    </xf>
    <xf numFmtId="0" fontId="165" fillId="0" borderId="0" xfId="0" applyFont="1" applyBorder="1" applyProtection="1">
      <alignment vertical="center"/>
    </xf>
    <xf numFmtId="184" fontId="195" fillId="0" borderId="0" xfId="0" applyNumberFormat="1" applyFont="1" applyAlignment="1" applyProtection="1">
      <alignment horizontal="left" vertical="center"/>
    </xf>
    <xf numFmtId="0" fontId="165" fillId="0" borderId="0" xfId="0" applyFont="1" applyAlignment="1" applyProtection="1">
      <alignment vertical="center" wrapText="1"/>
    </xf>
    <xf numFmtId="0" fontId="165" fillId="0" borderId="0" xfId="0" applyFont="1" applyAlignment="1" applyProtection="1">
      <alignment vertical="center" wrapText="1" shrinkToFit="1"/>
    </xf>
    <xf numFmtId="0" fontId="83" fillId="5" borderId="4" xfId="0" applyFont="1" applyFill="1" applyBorder="1" applyAlignment="1" applyProtection="1">
      <alignment vertical="center"/>
    </xf>
    <xf numFmtId="0" fontId="83" fillId="5" borderId="5" xfId="0" applyFont="1" applyFill="1" applyBorder="1" applyAlignment="1" applyProtection="1">
      <alignment horizontal="right" vertical="center" wrapText="1"/>
    </xf>
    <xf numFmtId="0" fontId="83" fillId="5" borderId="8" xfId="0" applyFont="1" applyFill="1" applyBorder="1" applyAlignment="1" applyProtection="1">
      <alignment horizontal="right" vertical="center" wrapText="1"/>
    </xf>
    <xf numFmtId="0" fontId="83" fillId="5" borderId="9" xfId="0" applyFont="1" applyFill="1" applyBorder="1" applyAlignment="1" applyProtection="1">
      <alignment horizontal="right" vertical="center"/>
    </xf>
    <xf numFmtId="0" fontId="83" fillId="8" borderId="5" xfId="0" applyFont="1" applyFill="1" applyBorder="1" applyAlignment="1" applyProtection="1">
      <alignment vertical="center"/>
      <protection locked="0"/>
    </xf>
    <xf numFmtId="0" fontId="83" fillId="6" borderId="2" xfId="0" applyFont="1" applyFill="1" applyBorder="1" applyAlignment="1" applyProtection="1">
      <alignment horizontal="center" vertical="center"/>
      <protection locked="0"/>
    </xf>
    <xf numFmtId="179" fontId="83" fillId="5" borderId="0" xfId="0" applyNumberFormat="1" applyFont="1" applyFill="1" applyBorder="1" applyAlignment="1" applyProtection="1">
      <alignment vertical="center" wrapText="1"/>
    </xf>
    <xf numFmtId="0" fontId="83" fillId="6" borderId="2" xfId="0" applyFont="1" applyFill="1" applyBorder="1" applyAlignment="1" applyProtection="1">
      <alignment horizontal="center" vertical="center" wrapText="1"/>
      <protection locked="0"/>
    </xf>
    <xf numFmtId="0" fontId="195"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6" fillId="0" borderId="0" xfId="0" applyFont="1" applyAlignment="1" applyProtection="1">
      <alignment horizontal="left" vertical="center"/>
    </xf>
    <xf numFmtId="0" fontId="197" fillId="0" borderId="0" xfId="0" applyFont="1" applyAlignment="1" applyProtection="1">
      <alignment horizontal="left" vertical="center" wrapText="1"/>
      <protection locked="0"/>
    </xf>
    <xf numFmtId="0" fontId="195" fillId="0" borderId="0" xfId="0" applyFont="1" applyFill="1" applyAlignment="1" applyProtection="1">
      <alignment horizontal="left" vertical="center" wrapText="1"/>
    </xf>
    <xf numFmtId="0" fontId="198" fillId="0" borderId="0" xfId="0" applyFont="1" applyAlignment="1" applyProtection="1">
      <alignment horizontal="left" vertical="center"/>
    </xf>
    <xf numFmtId="0" fontId="165" fillId="0" borderId="0" xfId="0" applyFont="1" applyAlignment="1" applyProtection="1">
      <alignment horizontal="left" vertical="center"/>
    </xf>
    <xf numFmtId="0" fontId="195" fillId="0" borderId="0" xfId="0" applyFont="1" applyAlignment="1" applyProtection="1">
      <alignment horizontal="left" vertical="center"/>
      <protection locked="0"/>
    </xf>
    <xf numFmtId="0" fontId="199" fillId="0" borderId="0" xfId="0" applyFont="1" applyAlignment="1">
      <alignment horizontal="right" vertical="center" wrapText="1"/>
    </xf>
    <xf numFmtId="0" fontId="0" fillId="0" borderId="0" xfId="0" applyFont="1" applyAlignment="1">
      <alignment vertical="center" wrapText="1"/>
    </xf>
    <xf numFmtId="0" fontId="199" fillId="0" borderId="0" xfId="0" applyFont="1" applyAlignment="1">
      <alignment vertical="center" wrapText="1"/>
    </xf>
    <xf numFmtId="0" fontId="80" fillId="5" borderId="4" xfId="0" applyFont="1" applyFill="1" applyBorder="1" applyAlignment="1" applyProtection="1">
      <alignment horizontal="right" vertical="center"/>
    </xf>
    <xf numFmtId="0" fontId="23" fillId="5" borderId="2" xfId="0" applyFont="1" applyFill="1" applyBorder="1" applyProtection="1">
      <alignment vertical="center"/>
    </xf>
    <xf numFmtId="0" fontId="23" fillId="6" borderId="2"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wrapText="1"/>
      <protection locked="0"/>
    </xf>
    <xf numFmtId="0" fontId="200" fillId="0" borderId="0" xfId="0" applyFont="1">
      <alignment vertical="center"/>
    </xf>
    <xf numFmtId="0" fontId="201" fillId="0" borderId="0" xfId="0" applyFont="1">
      <alignment vertical="center"/>
    </xf>
    <xf numFmtId="0" fontId="200" fillId="0" borderId="0" xfId="0" applyFont="1" applyAlignment="1">
      <alignment horizontal="right" vertical="center"/>
    </xf>
    <xf numFmtId="0" fontId="200" fillId="0" borderId="2" xfId="0" applyFont="1" applyBorder="1" applyAlignment="1">
      <alignment horizontal="center" vertical="center" wrapText="1"/>
    </xf>
    <xf numFmtId="0" fontId="202" fillId="0" borderId="2" xfId="0" applyFont="1" applyBorder="1" applyAlignment="1">
      <alignment horizontal="center" vertical="center" wrapText="1"/>
    </xf>
    <xf numFmtId="0" fontId="203" fillId="0" borderId="2" xfId="0" applyFont="1" applyBorder="1" applyAlignment="1">
      <alignment horizontal="center" vertical="center" wrapText="1"/>
    </xf>
    <xf numFmtId="0" fontId="200" fillId="0" borderId="0" xfId="0" applyFont="1" applyAlignment="1">
      <alignment horizontal="left" vertical="center"/>
    </xf>
    <xf numFmtId="0" fontId="201" fillId="0" borderId="0" xfId="0" applyFont="1" applyAlignment="1">
      <alignment vertical="center"/>
    </xf>
    <xf numFmtId="0" fontId="201" fillId="0" borderId="0" xfId="0" applyFont="1" applyAlignment="1">
      <alignment vertical="center" wrapText="1"/>
    </xf>
    <xf numFmtId="182" fontId="76" fillId="0" borderId="5" xfId="0" applyNumberFormat="1" applyFont="1" applyFill="1" applyBorder="1" applyAlignment="1" applyProtection="1">
      <alignment horizontal="center" vertical="center"/>
      <protection locked="0"/>
    </xf>
    <xf numFmtId="0" fontId="22" fillId="5" borderId="29" xfId="0"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wrapText="1"/>
    </xf>
    <xf numFmtId="0" fontId="90" fillId="5" borderId="17" xfId="0" applyFont="1" applyFill="1" applyBorder="1" applyAlignment="1" applyProtection="1">
      <alignment horizontal="center" vertical="center"/>
    </xf>
    <xf numFmtId="0" fontId="81" fillId="5" borderId="27" xfId="0" applyFont="1" applyFill="1" applyBorder="1" applyAlignment="1" applyProtection="1">
      <alignment horizontal="center" vertical="center"/>
    </xf>
    <xf numFmtId="0" fontId="81" fillId="5" borderId="17" xfId="0" applyFont="1" applyFill="1" applyBorder="1" applyAlignment="1" applyProtection="1">
      <alignment horizontal="left" vertical="center"/>
    </xf>
    <xf numFmtId="0" fontId="81" fillId="5" borderId="32" xfId="0" applyFont="1" applyFill="1" applyBorder="1" applyAlignment="1" applyProtection="1">
      <alignment vertical="center"/>
    </xf>
    <xf numFmtId="0" fontId="81" fillId="5" borderId="18" xfId="0" applyFont="1" applyFill="1" applyBorder="1" applyAlignment="1" applyProtection="1">
      <alignment vertical="center"/>
    </xf>
    <xf numFmtId="0" fontId="81" fillId="5" borderId="20" xfId="0" applyFont="1" applyFill="1" applyBorder="1" applyAlignment="1" applyProtection="1">
      <alignment vertical="center"/>
    </xf>
    <xf numFmtId="0" fontId="90" fillId="5" borderId="32" xfId="0" applyFont="1" applyFill="1" applyBorder="1" applyAlignment="1" applyProtection="1">
      <alignment horizontal="center" vertical="center"/>
    </xf>
    <xf numFmtId="0" fontId="90" fillId="5" borderId="18" xfId="0" applyFont="1" applyFill="1" applyBorder="1" applyAlignment="1" applyProtection="1">
      <alignment horizontal="center" vertical="center"/>
    </xf>
    <xf numFmtId="0" fontId="90" fillId="5" borderId="21" xfId="0" applyFont="1" applyFill="1" applyBorder="1" applyAlignment="1" applyProtection="1">
      <alignment horizontal="left" vertical="center"/>
    </xf>
    <xf numFmtId="49" fontId="81" fillId="5" borderId="53" xfId="0" applyNumberFormat="1" applyFont="1" applyFill="1" applyBorder="1" applyAlignment="1" applyProtection="1">
      <alignment horizontal="center" vertical="center"/>
    </xf>
    <xf numFmtId="49" fontId="90" fillId="5" borderId="50" xfId="0" applyNumberFormat="1" applyFont="1" applyFill="1" applyBorder="1" applyAlignment="1" applyProtection="1">
      <alignment horizontal="left" vertical="center"/>
    </xf>
    <xf numFmtId="49" fontId="81" fillId="5" borderId="22" xfId="0" applyNumberFormat="1" applyFont="1" applyFill="1" applyBorder="1" applyAlignment="1" applyProtection="1">
      <alignment horizontal="left" vertical="center"/>
    </xf>
    <xf numFmtId="49" fontId="81" fillId="5" borderId="50" xfId="0" applyNumberFormat="1" applyFont="1" applyFill="1" applyBorder="1" applyAlignment="1" applyProtection="1">
      <alignment horizontal="left" vertical="center"/>
    </xf>
    <xf numFmtId="49" fontId="81" fillId="5" borderId="10" xfId="0" applyNumberFormat="1" applyFont="1" applyFill="1" applyBorder="1" applyAlignment="1" applyProtection="1">
      <alignment horizontal="left" vertical="center"/>
    </xf>
    <xf numFmtId="49" fontId="81" fillId="5" borderId="21" xfId="0" applyNumberFormat="1" applyFont="1" applyFill="1" applyBorder="1" applyAlignment="1" applyProtection="1">
      <alignment vertical="center"/>
    </xf>
    <xf numFmtId="0" fontId="81" fillId="5" borderId="3" xfId="0" applyFont="1" applyFill="1" applyBorder="1" applyAlignment="1" applyProtection="1">
      <alignment horizontal="left" vertical="center"/>
    </xf>
    <xf numFmtId="0" fontId="83" fillId="5" borderId="9" xfId="0" applyFont="1" applyFill="1" applyBorder="1" applyAlignment="1" applyProtection="1">
      <alignment vertical="center"/>
    </xf>
    <xf numFmtId="0" fontId="83" fillId="2" borderId="9" xfId="0" applyFont="1" applyFill="1" applyBorder="1" applyAlignment="1" applyProtection="1">
      <alignment vertical="center"/>
    </xf>
    <xf numFmtId="0" fontId="83" fillId="0" borderId="5" xfId="0" applyFont="1" applyBorder="1" applyAlignment="1" applyProtection="1">
      <alignment horizontal="center" vertical="center" wrapText="1"/>
    </xf>
    <xf numFmtId="49" fontId="83" fillId="0" borderId="2" xfId="0" applyNumberFormat="1" applyFont="1" applyBorder="1" applyAlignment="1" applyProtection="1">
      <alignment horizontal="center" vertical="center" wrapText="1"/>
    </xf>
    <xf numFmtId="49" fontId="83" fillId="0" borderId="5" xfId="0" applyNumberFormat="1" applyFont="1" applyBorder="1" applyAlignment="1" applyProtection="1">
      <alignment vertical="center" wrapText="1"/>
    </xf>
    <xf numFmtId="0" fontId="83" fillId="0" borderId="0" xfId="0" applyFont="1" applyAlignment="1" applyProtection="1">
      <alignment vertical="center"/>
      <protection locked="0"/>
    </xf>
    <xf numFmtId="0" fontId="83" fillId="6" borderId="71" xfId="0" applyFont="1" applyFill="1" applyBorder="1" applyAlignment="1" applyProtection="1">
      <alignment vertical="center" wrapText="1"/>
      <protection locked="0"/>
    </xf>
    <xf numFmtId="0" fontId="83" fillId="6" borderId="5" xfId="0" applyFont="1" applyFill="1" applyBorder="1" applyAlignment="1" applyProtection="1">
      <alignment vertical="center" wrapText="1"/>
      <protection locked="0"/>
    </xf>
    <xf numFmtId="0" fontId="83" fillId="6" borderId="8" xfId="0" applyFont="1" applyFill="1" applyBorder="1" applyAlignment="1" applyProtection="1">
      <alignment horizontal="center" vertical="center" wrapText="1"/>
      <protection locked="0"/>
    </xf>
    <xf numFmtId="0" fontId="83" fillId="5" borderId="71"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49" fontId="62" fillId="5" borderId="59" xfId="0" applyNumberFormat="1" applyFont="1" applyFill="1" applyBorder="1" applyAlignment="1" applyProtection="1">
      <alignment vertical="center"/>
    </xf>
    <xf numFmtId="49" fontId="62" fillId="6" borderId="30" xfId="0" applyNumberFormat="1" applyFont="1" applyFill="1" applyBorder="1" applyAlignment="1" applyProtection="1">
      <alignment vertical="center"/>
      <protection locked="0"/>
    </xf>
    <xf numFmtId="0" fontId="52" fillId="5" borderId="10" xfId="0" applyFont="1" applyFill="1" applyBorder="1" applyAlignment="1" applyProtection="1">
      <alignment horizontal="center" vertical="center"/>
    </xf>
    <xf numFmtId="0" fontId="157" fillId="5" borderId="2" xfId="3" applyFont="1" applyFill="1" applyBorder="1" applyAlignment="1" applyProtection="1">
      <alignment horizontal="center" vertical="center"/>
    </xf>
    <xf numFmtId="0" fontId="169" fillId="0" borderId="44" xfId="3" applyNumberFormat="1" applyFont="1" applyFill="1" applyBorder="1" applyAlignment="1" applyProtection="1">
      <alignment horizontal="center" vertical="center" wrapText="1"/>
      <protection locked="0"/>
    </xf>
    <xf numFmtId="0" fontId="204" fillId="5" borderId="0" xfId="0" applyFont="1" applyFill="1" applyAlignment="1" applyProtection="1">
      <alignment horizontal="center" vertical="center"/>
    </xf>
    <xf numFmtId="0" fontId="171" fillId="5" borderId="40" xfId="0" applyFont="1" applyFill="1" applyBorder="1" applyAlignment="1" applyProtection="1">
      <alignment horizontal="center" vertical="center"/>
    </xf>
    <xf numFmtId="0" fontId="171" fillId="5" borderId="53" xfId="0" applyFont="1" applyFill="1" applyBorder="1" applyAlignment="1" applyProtection="1">
      <alignment vertical="center" wrapText="1"/>
    </xf>
    <xf numFmtId="0" fontId="171" fillId="5" borderId="10" xfId="0" applyFont="1" applyFill="1" applyBorder="1" applyAlignment="1" applyProtection="1">
      <alignment horizontal="center" vertical="center"/>
    </xf>
    <xf numFmtId="0" fontId="170" fillId="5" borderId="53" xfId="0" applyFont="1" applyFill="1" applyBorder="1" applyAlignment="1" applyProtection="1">
      <alignment vertical="center" wrapText="1"/>
    </xf>
    <xf numFmtId="0" fontId="170" fillId="5" borderId="6" xfId="0" applyFont="1" applyFill="1" applyBorder="1" applyAlignment="1" applyProtection="1">
      <alignment horizontal="center" vertical="center" wrapText="1"/>
    </xf>
    <xf numFmtId="10" fontId="157" fillId="0" borderId="6" xfId="0" applyNumberFormat="1" applyFont="1" applyBorder="1" applyAlignment="1">
      <alignment horizontal="center" vertical="center" wrapText="1"/>
    </xf>
    <xf numFmtId="10" fontId="157" fillId="0" borderId="7" xfId="0" applyNumberFormat="1" applyFont="1" applyBorder="1" applyAlignment="1">
      <alignment horizontal="center" vertical="center" wrapText="1"/>
    </xf>
    <xf numFmtId="0" fontId="170" fillId="5" borderId="2" xfId="0" applyFont="1" applyFill="1" applyBorder="1" applyAlignment="1" applyProtection="1">
      <alignment horizontal="center" vertical="center" wrapText="1"/>
    </xf>
    <xf numFmtId="10" fontId="157" fillId="0" borderId="2" xfId="0" applyNumberFormat="1" applyFont="1" applyBorder="1" applyAlignment="1">
      <alignment horizontal="center" vertical="center" wrapText="1"/>
    </xf>
    <xf numFmtId="10" fontId="157" fillId="0" borderId="12" xfId="0" applyNumberFormat="1" applyFont="1" applyBorder="1" applyAlignment="1">
      <alignment horizontal="center" vertical="center" wrapText="1"/>
    </xf>
    <xf numFmtId="0" fontId="170" fillId="5" borderId="21" xfId="0" applyFont="1" applyFill="1" applyBorder="1" applyAlignment="1" applyProtection="1">
      <alignment horizontal="center" vertical="center" wrapText="1"/>
    </xf>
    <xf numFmtId="0" fontId="170" fillId="5" borderId="33" xfId="0" applyFont="1" applyFill="1" applyBorder="1" applyAlignment="1" applyProtection="1">
      <alignment vertical="center" wrapText="1"/>
    </xf>
    <xf numFmtId="0" fontId="170" fillId="5" borderId="55" xfId="0" applyFont="1" applyFill="1" applyBorder="1" applyAlignment="1" applyProtection="1">
      <alignment horizontal="center" vertical="center" wrapText="1"/>
    </xf>
    <xf numFmtId="10" fontId="157"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70" fillId="5" borderId="44" xfId="0" applyFont="1" applyFill="1" applyBorder="1" applyAlignment="1" applyProtection="1">
      <alignment horizontal="center" vertical="center" wrapText="1"/>
    </xf>
    <xf numFmtId="10" fontId="157" fillId="0" borderId="46" xfId="0" applyNumberFormat="1" applyFont="1" applyBorder="1" applyAlignment="1">
      <alignment horizontal="center" vertical="center" wrapText="1"/>
    </xf>
    <xf numFmtId="0" fontId="170" fillId="5" borderId="10" xfId="0" applyFont="1" applyFill="1" applyBorder="1" applyAlignment="1" applyProtection="1">
      <alignment horizontal="center" vertical="center" wrapText="1"/>
    </xf>
    <xf numFmtId="10" fontId="157" fillId="0" borderId="10" xfId="0" applyNumberFormat="1" applyFont="1" applyBorder="1" applyAlignment="1">
      <alignment horizontal="center" vertical="center" wrapText="1"/>
    </xf>
    <xf numFmtId="0" fontId="170" fillId="5" borderId="83" xfId="0" applyFont="1" applyFill="1" applyBorder="1" applyAlignment="1" applyProtection="1">
      <alignment horizontal="center" vertical="center" wrapText="1"/>
    </xf>
    <xf numFmtId="10" fontId="0" fillId="0" borderId="37" xfId="0" applyNumberFormat="1" applyBorder="1">
      <alignment vertical="center"/>
    </xf>
    <xf numFmtId="10" fontId="157" fillId="0" borderId="34" xfId="0" applyNumberFormat="1" applyFont="1" applyBorder="1" applyAlignment="1">
      <alignment horizontal="center" vertical="center" wrapText="1"/>
    </xf>
    <xf numFmtId="0" fontId="170" fillId="5" borderId="24" xfId="0" applyFont="1" applyFill="1" applyBorder="1" applyAlignment="1" applyProtection="1">
      <alignment vertical="center" wrapText="1"/>
    </xf>
    <xf numFmtId="10" fontId="157"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4" fillId="5" borderId="1" xfId="0" applyNumberFormat="1" applyFont="1" applyFill="1" applyBorder="1" applyAlignment="1" applyProtection="1">
      <alignment horizontal="center" vertical="center"/>
    </xf>
    <xf numFmtId="0" fontId="154" fillId="5" borderId="29" xfId="0" applyNumberFormat="1" applyFont="1" applyFill="1" applyBorder="1" applyProtection="1">
      <alignment vertical="center"/>
    </xf>
    <xf numFmtId="10" fontId="91" fillId="5" borderId="7" xfId="3" applyNumberFormat="1" applyFont="1" applyFill="1" applyBorder="1" applyAlignment="1" applyProtection="1">
      <alignment vertical="center" wrapText="1"/>
    </xf>
    <xf numFmtId="0" fontId="154" fillId="5" borderId="11" xfId="0" applyNumberFormat="1" applyFont="1" applyFill="1" applyBorder="1" applyAlignment="1" applyProtection="1">
      <alignment horizontal="center" vertical="center"/>
    </xf>
    <xf numFmtId="0" fontId="154" fillId="5" borderId="5" xfId="0" applyNumberFormat="1" applyFont="1" applyFill="1" applyBorder="1" applyProtection="1">
      <alignment vertical="center"/>
    </xf>
    <xf numFmtId="10" fontId="91" fillId="5" borderId="12" xfId="3" applyNumberFormat="1" applyFont="1" applyFill="1" applyBorder="1" applyAlignment="1" applyProtection="1">
      <alignment vertical="center" wrapText="1"/>
    </xf>
    <xf numFmtId="0" fontId="154" fillId="5" borderId="43" xfId="0" applyNumberFormat="1" applyFont="1" applyFill="1" applyBorder="1" applyAlignment="1" applyProtection="1">
      <alignment horizontal="center" vertical="center"/>
    </xf>
    <xf numFmtId="0" fontId="154" fillId="5" borderId="45" xfId="0" applyNumberFormat="1" applyFont="1" applyFill="1" applyBorder="1" applyProtection="1">
      <alignment vertical="center"/>
    </xf>
    <xf numFmtId="10" fontId="91" fillId="5" borderId="46" xfId="3" applyNumberFormat="1" applyFont="1" applyFill="1" applyBorder="1" applyAlignment="1" applyProtection="1">
      <alignment vertical="center" wrapText="1"/>
    </xf>
    <xf numFmtId="0" fontId="52" fillId="5" borderId="5" xfId="3" applyFont="1" applyFill="1" applyBorder="1" applyAlignment="1" applyProtection="1">
      <alignment vertical="center" wrapText="1"/>
    </xf>
    <xf numFmtId="0" fontId="52" fillId="5" borderId="8" xfId="3" applyFont="1" applyFill="1" applyBorder="1" applyAlignment="1" applyProtection="1">
      <alignment vertical="center" wrapText="1"/>
    </xf>
    <xf numFmtId="0" fontId="52" fillId="5" borderId="9" xfId="3" applyFont="1" applyFill="1" applyBorder="1" applyAlignment="1" applyProtection="1">
      <alignment vertical="center" wrapText="1"/>
    </xf>
    <xf numFmtId="0" fontId="52" fillId="5" borderId="2" xfId="3" applyFont="1" applyFill="1" applyBorder="1" applyAlignment="1" applyProtection="1">
      <alignment vertical="center" wrapText="1"/>
    </xf>
    <xf numFmtId="0" fontId="57" fillId="5" borderId="5" xfId="0" applyFont="1" applyFill="1" applyBorder="1" applyAlignment="1" applyProtection="1">
      <alignment horizontal="center" vertical="center" wrapText="1"/>
    </xf>
    <xf numFmtId="0" fontId="57" fillId="5" borderId="73" xfId="0" applyNumberFormat="1" applyFont="1" applyFill="1" applyBorder="1" applyAlignment="1" applyProtection="1">
      <alignment horizontal="center" vertical="center" wrapText="1"/>
    </xf>
    <xf numFmtId="0" fontId="111" fillId="5" borderId="50" xfId="0" applyFont="1" applyFill="1" applyBorder="1" applyAlignment="1" applyProtection="1">
      <alignment horizontal="center" vertical="center"/>
    </xf>
    <xf numFmtId="0" fontId="111" fillId="0" borderId="21" xfId="0" applyFont="1" applyBorder="1" applyAlignment="1" applyProtection="1">
      <alignment horizontal="center" vertical="center"/>
      <protection locked="0"/>
    </xf>
    <xf numFmtId="0" fontId="111" fillId="0" borderId="17" xfId="0" applyFont="1" applyBorder="1" applyAlignment="1" applyProtection="1">
      <alignment horizontal="center" vertical="center"/>
      <protection locked="0"/>
    </xf>
    <xf numFmtId="0" fontId="111" fillId="0" borderId="93" xfId="0" applyFont="1" applyFill="1" applyBorder="1" applyAlignment="1" applyProtection="1">
      <alignment horizontal="center" vertical="center"/>
      <protection locked="0"/>
    </xf>
    <xf numFmtId="0" fontId="111" fillId="0" borderId="51" xfId="0" applyFont="1" applyBorder="1" applyAlignment="1" applyProtection="1">
      <alignment horizontal="center" vertical="center"/>
      <protection locked="0"/>
    </xf>
    <xf numFmtId="186" fontId="111" fillId="5" borderId="51" xfId="0" applyNumberFormat="1" applyFont="1" applyFill="1" applyBorder="1" applyAlignment="1" applyProtection="1">
      <alignment horizontal="center" vertical="center"/>
    </xf>
    <xf numFmtId="0" fontId="111" fillId="5" borderId="11" xfId="0" applyFont="1" applyFill="1" applyBorder="1" applyAlignment="1" applyProtection="1">
      <alignment horizontal="center" vertical="center"/>
    </xf>
    <xf numFmtId="0" fontId="111" fillId="0" borderId="2" xfId="0" applyFont="1" applyBorder="1" applyAlignment="1" applyProtection="1">
      <alignment horizontal="center" vertical="center"/>
      <protection locked="0"/>
    </xf>
    <xf numFmtId="0" fontId="111" fillId="0" borderId="5" xfId="0" applyFont="1" applyBorder="1" applyAlignment="1" applyProtection="1">
      <alignment horizontal="center" vertical="center"/>
      <protection locked="0"/>
    </xf>
    <xf numFmtId="0" fontId="111" fillId="0" borderId="94" xfId="0" applyFont="1" applyFill="1" applyBorder="1" applyAlignment="1" applyProtection="1">
      <alignment horizontal="center" vertical="center"/>
      <protection locked="0"/>
    </xf>
    <xf numFmtId="0" fontId="111" fillId="0" borderId="12" xfId="0" applyFont="1" applyBorder="1" applyAlignment="1" applyProtection="1">
      <alignment horizontal="center" vertical="center"/>
      <protection locked="0"/>
    </xf>
    <xf numFmtId="0" fontId="111" fillId="5" borderId="12" xfId="0" applyFont="1" applyFill="1" applyBorder="1" applyAlignment="1" applyProtection="1">
      <alignment horizontal="center" vertical="center"/>
    </xf>
    <xf numFmtId="179" fontId="111" fillId="5" borderId="12" xfId="0" applyNumberFormat="1" applyFont="1" applyFill="1" applyBorder="1" applyAlignment="1" applyProtection="1">
      <alignment horizontal="center" vertical="center"/>
    </xf>
    <xf numFmtId="179" fontId="111" fillId="0" borderId="12" xfId="0" applyNumberFormat="1" applyFont="1" applyBorder="1" applyAlignment="1" applyProtection="1">
      <alignment horizontal="center" vertical="center"/>
      <protection locked="0"/>
    </xf>
    <xf numFmtId="0" fontId="154" fillId="0" borderId="94" xfId="0" applyFont="1" applyFill="1" applyBorder="1" applyAlignment="1" applyProtection="1">
      <alignment horizontal="center" vertical="center"/>
      <protection locked="0"/>
    </xf>
    <xf numFmtId="0" fontId="111" fillId="5" borderId="44" xfId="0" applyFont="1" applyFill="1" applyBorder="1" applyAlignment="1" applyProtection="1">
      <alignment horizontal="center" vertical="center"/>
    </xf>
    <xf numFmtId="0" fontId="111" fillId="0" borderId="44" xfId="0" applyFont="1" applyBorder="1" applyAlignment="1" applyProtection="1">
      <alignment horizontal="center" vertical="center"/>
      <protection locked="0"/>
    </xf>
    <xf numFmtId="179" fontId="111" fillId="5" borderId="46" xfId="0" applyNumberFormat="1" applyFont="1" applyFill="1" applyBorder="1" applyAlignment="1" applyProtection="1">
      <alignment horizontal="center" vertical="center"/>
    </xf>
    <xf numFmtId="0" fontId="188" fillId="0" borderId="0" xfId="0" applyFont="1" applyFill="1" applyAlignment="1" applyProtection="1">
      <alignment horizontal="left" vertical="center"/>
      <protection locked="0"/>
    </xf>
    <xf numFmtId="0" fontId="63" fillId="0" borderId="0" xfId="0" applyFont="1" applyFill="1" applyAlignment="1" applyProtection="1">
      <alignment horizontal="center" vertical="center"/>
      <protection locked="0"/>
    </xf>
    <xf numFmtId="188" fontId="63" fillId="0" borderId="0" xfId="0" applyNumberFormat="1" applyFont="1" applyFill="1" applyAlignment="1" applyProtection="1">
      <alignment horizontal="center" vertical="center"/>
      <protection locked="0"/>
    </xf>
    <xf numFmtId="0" fontId="165" fillId="5" borderId="26" xfId="0" applyFont="1" applyFill="1" applyBorder="1" applyAlignment="1" applyProtection="1">
      <alignment horizontal="center" vertical="center"/>
    </xf>
    <xf numFmtId="0" fontId="145" fillId="5" borderId="28" xfId="0" applyFont="1" applyFill="1" applyBorder="1" applyAlignment="1" applyProtection="1">
      <alignment horizontal="center" vertical="center"/>
    </xf>
    <xf numFmtId="0" fontId="63" fillId="5" borderId="28" xfId="0" applyFont="1" applyFill="1" applyBorder="1" applyAlignment="1" applyProtection="1">
      <alignment horizontal="center" vertical="center"/>
    </xf>
    <xf numFmtId="0" fontId="63" fillId="5" borderId="39" xfId="0" applyFont="1" applyFill="1" applyBorder="1" applyAlignment="1" applyProtection="1">
      <alignment horizontal="center" vertical="center"/>
    </xf>
    <xf numFmtId="0" fontId="165" fillId="5" borderId="28" xfId="0" applyFont="1" applyFill="1" applyBorder="1" applyAlignment="1" applyProtection="1">
      <alignment horizontal="center" vertical="center"/>
    </xf>
    <xf numFmtId="0" fontId="145" fillId="5" borderId="39" xfId="0" applyFont="1" applyFill="1" applyBorder="1" applyAlignment="1" applyProtection="1">
      <alignment horizontal="center" vertical="center"/>
    </xf>
    <xf numFmtId="0" fontId="145" fillId="5" borderId="87" xfId="0" applyFont="1" applyFill="1" applyBorder="1" applyProtection="1">
      <alignment vertical="center"/>
    </xf>
    <xf numFmtId="0" fontId="165" fillId="5" borderId="2" xfId="0" applyFont="1" applyFill="1" applyBorder="1" applyAlignment="1" applyProtection="1">
      <alignment horizontal="center" vertical="center"/>
    </xf>
    <xf numFmtId="0" fontId="165" fillId="5" borderId="5" xfId="0" applyFont="1" applyFill="1" applyBorder="1" applyAlignment="1" applyProtection="1">
      <alignment horizontal="center" vertical="center"/>
    </xf>
    <xf numFmtId="0" fontId="165" fillId="5" borderId="94" xfId="0" applyFont="1" applyFill="1" applyBorder="1" applyAlignment="1" applyProtection="1">
      <alignment horizontal="center" vertical="center"/>
    </xf>
    <xf numFmtId="0" fontId="165" fillId="5" borderId="12" xfId="0" applyFont="1" applyFill="1" applyBorder="1" applyAlignment="1" applyProtection="1">
      <alignment horizontal="center" vertical="center"/>
    </xf>
    <xf numFmtId="0" fontId="145" fillId="5" borderId="19" xfId="0" applyFont="1" applyFill="1" applyBorder="1" applyAlignment="1" applyProtection="1">
      <alignment horizontal="center" vertical="center"/>
    </xf>
    <xf numFmtId="0" fontId="165" fillId="0" borderId="21" xfId="0" applyFont="1" applyBorder="1" applyAlignment="1" applyProtection="1">
      <alignment horizontal="center" vertical="center"/>
      <protection locked="0"/>
    </xf>
    <xf numFmtId="0" fontId="165" fillId="5" borderId="20" xfId="0" applyFont="1" applyFill="1" applyBorder="1" applyAlignment="1" applyProtection="1">
      <alignment horizontal="center" vertical="center"/>
    </xf>
    <xf numFmtId="0" fontId="145" fillId="0" borderId="2" xfId="0" applyFont="1" applyBorder="1" applyAlignment="1" applyProtection="1">
      <alignment horizontal="center" vertical="center"/>
      <protection locked="0"/>
    </xf>
    <xf numFmtId="0" fontId="165" fillId="5" borderId="9" xfId="0" applyFont="1" applyFill="1" applyBorder="1" applyAlignment="1" applyProtection="1">
      <alignment horizontal="center" vertical="center"/>
    </xf>
    <xf numFmtId="0" fontId="165" fillId="0" borderId="2" xfId="0" applyFont="1" applyBorder="1" applyAlignment="1" applyProtection="1">
      <alignment horizontal="center" vertical="center"/>
      <protection locked="0"/>
    </xf>
    <xf numFmtId="0" fontId="165" fillId="5" borderId="43" xfId="0" applyFont="1" applyFill="1" applyBorder="1" applyAlignment="1" applyProtection="1">
      <alignment horizontal="center" vertical="center"/>
    </xf>
    <xf numFmtId="0" fontId="145" fillId="5" borderId="61" xfId="0" applyFont="1" applyFill="1" applyBorder="1" applyAlignment="1" applyProtection="1">
      <alignment horizontal="center" vertical="center"/>
    </xf>
    <xf numFmtId="0" fontId="145" fillId="5" borderId="95" xfId="0" applyFont="1" applyFill="1" applyBorder="1" applyAlignment="1" applyProtection="1">
      <alignment horizontal="left" vertical="center"/>
    </xf>
    <xf numFmtId="0" fontId="63" fillId="5" borderId="61" xfId="0" applyFont="1" applyFill="1" applyBorder="1" applyAlignment="1" applyProtection="1">
      <alignment horizontal="center" vertical="center"/>
    </xf>
    <xf numFmtId="0" fontId="63" fillId="5" borderId="66" xfId="0" applyFont="1" applyFill="1" applyBorder="1" applyAlignment="1" applyProtection="1">
      <alignment horizontal="center" vertical="center"/>
    </xf>
    <xf numFmtId="0" fontId="165" fillId="5" borderId="47" xfId="0" applyFont="1" applyFill="1" applyBorder="1" applyAlignment="1" applyProtection="1">
      <alignment horizontal="center" vertical="center"/>
    </xf>
    <xf numFmtId="10" fontId="16" fillId="6" borderId="16" xfId="0" applyNumberFormat="1" applyFont="1" applyFill="1" applyBorder="1" applyAlignment="1" applyProtection="1">
      <alignment horizontal="left" vertical="center" wrapText="1"/>
      <protection locked="0"/>
    </xf>
    <xf numFmtId="0" fontId="164" fillId="0" borderId="11" xfId="0" applyFont="1" applyFill="1" applyBorder="1" applyProtection="1">
      <alignment vertical="center"/>
      <protection locked="0"/>
    </xf>
    <xf numFmtId="0" fontId="200" fillId="0" borderId="2" xfId="0" applyFont="1" applyBorder="1" applyAlignment="1">
      <alignment horizontal="left" vertical="center" wrapText="1"/>
    </xf>
    <xf numFmtId="0" fontId="114" fillId="5" borderId="2" xfId="0" applyFont="1" applyFill="1" applyBorder="1" applyAlignment="1" applyProtection="1">
      <alignment horizontal="center" vertical="center"/>
    </xf>
    <xf numFmtId="0" fontId="205" fillId="5" borderId="11" xfId="0" applyFont="1" applyFill="1" applyBorder="1" applyAlignment="1" applyProtection="1">
      <alignment horizontal="center" vertical="center"/>
    </xf>
    <xf numFmtId="0" fontId="114" fillId="6" borderId="11" xfId="0" applyFont="1" applyFill="1" applyBorder="1" applyAlignment="1" applyProtection="1">
      <alignment horizontal="center" vertical="center"/>
      <protection locked="0"/>
    </xf>
    <xf numFmtId="0" fontId="205" fillId="5" borderId="43" xfId="0" applyFont="1" applyFill="1" applyBorder="1" applyAlignment="1" applyProtection="1">
      <alignment horizontal="center" vertical="center"/>
    </xf>
    <xf numFmtId="49" fontId="114" fillId="5" borderId="2" xfId="0" applyNumberFormat="1" applyFont="1" applyFill="1" applyBorder="1" applyAlignment="1" applyProtection="1">
      <alignment horizontal="center" vertical="center"/>
    </xf>
    <xf numFmtId="49" fontId="114" fillId="5" borderId="44" xfId="0" applyNumberFormat="1" applyFont="1" applyFill="1" applyBorder="1" applyAlignment="1" applyProtection="1">
      <alignment horizontal="center" vertical="center"/>
    </xf>
    <xf numFmtId="178" fontId="91" fillId="5" borderId="5" xfId="2" applyNumberFormat="1" applyFont="1" applyFill="1" applyBorder="1" applyAlignment="1" applyProtection="1">
      <alignment horizontal="center"/>
    </xf>
    <xf numFmtId="0" fontId="89" fillId="5" borderId="29" xfId="0" applyFont="1" applyFill="1" applyBorder="1" applyAlignment="1" applyProtection="1">
      <alignment horizontal="center" vertical="center"/>
    </xf>
    <xf numFmtId="0" fontId="164" fillId="5" borderId="9" xfId="0" applyFont="1" applyFill="1" applyBorder="1" applyAlignment="1" applyProtection="1">
      <alignment horizontal="center" vertical="center"/>
    </xf>
    <xf numFmtId="0" fontId="157" fillId="5" borderId="9" xfId="0" applyFont="1" applyFill="1" applyBorder="1" applyAlignment="1" applyProtection="1">
      <alignment horizontal="center" vertical="center"/>
    </xf>
    <xf numFmtId="0" fontId="157" fillId="5" borderId="12" xfId="0" applyNumberFormat="1" applyFont="1" applyFill="1" applyBorder="1" applyAlignment="1" applyProtection="1">
      <alignment horizontal="center" vertical="center"/>
    </xf>
    <xf numFmtId="49" fontId="157" fillId="5" borderId="12" xfId="0" applyNumberFormat="1" applyFont="1" applyFill="1" applyBorder="1" applyAlignment="1" applyProtection="1">
      <alignment horizontal="center" vertical="center"/>
    </xf>
    <xf numFmtId="0" fontId="157" fillId="5" borderId="11" xfId="0" applyFont="1" applyFill="1" applyBorder="1" applyAlignment="1" applyProtection="1">
      <alignment horizontal="center" vertical="center"/>
    </xf>
    <xf numFmtId="0" fontId="157" fillId="5" borderId="43" xfId="0" applyFont="1" applyFill="1" applyBorder="1" applyAlignment="1" applyProtection="1">
      <alignment horizontal="center" vertical="center"/>
    </xf>
    <xf numFmtId="49" fontId="157" fillId="5" borderId="46" xfId="0" applyNumberFormat="1" applyFont="1" applyFill="1" applyBorder="1" applyAlignment="1" applyProtection="1">
      <alignment horizontal="center" vertical="center"/>
    </xf>
    <xf numFmtId="0" fontId="206" fillId="0" borderId="0" xfId="0" applyFont="1" applyFill="1" applyAlignment="1" applyProtection="1">
      <alignment horizontal="left" vertical="center"/>
      <protection locked="0"/>
    </xf>
    <xf numFmtId="0" fontId="47" fillId="5" borderId="2" xfId="2" applyFont="1" applyFill="1" applyBorder="1" applyAlignment="1" applyProtection="1">
      <alignment horizontal="left"/>
    </xf>
    <xf numFmtId="0" fontId="81" fillId="0" borderId="50"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5" borderId="96" xfId="0" applyNumberFormat="1" applyFont="1" applyFill="1" applyBorder="1" applyAlignment="1" applyProtection="1">
      <alignment horizontal="center" vertical="center" wrapText="1"/>
    </xf>
    <xf numFmtId="0" fontId="81" fillId="0" borderId="97" xfId="0" applyNumberFormat="1" applyFont="1" applyFill="1" applyBorder="1" applyAlignment="1" applyProtection="1">
      <alignment horizontal="center" vertical="center" wrapText="1"/>
      <protection locked="0"/>
    </xf>
    <xf numFmtId="0" fontId="91" fillId="0" borderId="98" xfId="0" applyNumberFormat="1" applyFont="1" applyFill="1" applyBorder="1" applyAlignment="1" applyProtection="1">
      <alignment horizontal="center" vertical="center" wrapText="1"/>
      <protection locked="0"/>
    </xf>
    <xf numFmtId="0" fontId="91" fillId="5" borderId="99" xfId="0" applyNumberFormat="1" applyFont="1" applyFill="1" applyBorder="1" applyAlignment="1" applyProtection="1">
      <alignment horizontal="center" vertical="center" wrapText="1"/>
    </xf>
    <xf numFmtId="0" fontId="81" fillId="5" borderId="97" xfId="0" applyNumberFormat="1" applyFont="1" applyFill="1" applyBorder="1" applyAlignment="1" applyProtection="1">
      <alignment horizontal="center" vertical="center" wrapText="1"/>
    </xf>
    <xf numFmtId="0" fontId="91" fillId="5" borderId="98"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122" fillId="0" borderId="0" xfId="0" applyFont="1" applyProtection="1">
      <alignment vertical="center"/>
      <protection locked="0"/>
    </xf>
    <xf numFmtId="0" fontId="80" fillId="5" borderId="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157"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left" vertical="center" wrapText="1"/>
    </xf>
    <xf numFmtId="0" fontId="76" fillId="5" borderId="2" xfId="0" applyFont="1" applyFill="1" applyBorder="1" applyAlignment="1" applyProtection="1">
      <alignment horizontal="center" vertical="center" wrapText="1"/>
    </xf>
    <xf numFmtId="0" fontId="81" fillId="5" borderId="5" xfId="0" applyFont="1" applyFill="1" applyBorder="1" applyAlignment="1" applyProtection="1">
      <alignment horizontal="left" vertical="center" wrapText="1"/>
    </xf>
    <xf numFmtId="0" fontId="81" fillId="5" borderId="8" xfId="0" applyFont="1" applyFill="1" applyBorder="1" applyAlignment="1" applyProtection="1">
      <alignment horizontal="left" vertical="center" wrapText="1"/>
    </xf>
    <xf numFmtId="0" fontId="81" fillId="5" borderId="8"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xf>
    <xf numFmtId="0" fontId="76" fillId="5" borderId="0" xfId="0" applyFont="1" applyFill="1" applyProtection="1">
      <alignment vertical="center"/>
      <protection locked="0"/>
    </xf>
    <xf numFmtId="0" fontId="76" fillId="0" borderId="0" xfId="0" applyFont="1" applyProtection="1">
      <alignment vertical="center"/>
      <protection locked="0"/>
    </xf>
    <xf numFmtId="0" fontId="76" fillId="5" borderId="0" xfId="0" applyFont="1" applyFill="1" applyBorder="1" applyProtection="1">
      <alignment vertical="center"/>
      <protection locked="0"/>
    </xf>
    <xf numFmtId="0" fontId="76" fillId="5" borderId="0" xfId="0" applyFont="1" applyFill="1" applyBorder="1" applyAlignment="1" applyProtection="1">
      <alignment vertical="center"/>
      <protection locked="0"/>
    </xf>
    <xf numFmtId="177" fontId="76" fillId="0" borderId="0" xfId="0" applyNumberFormat="1" applyFont="1" applyProtection="1">
      <alignment vertical="center"/>
      <protection locked="0"/>
    </xf>
    <xf numFmtId="0" fontId="81" fillId="5" borderId="0" xfId="0" applyFont="1" applyFill="1" applyAlignment="1" applyProtection="1">
      <alignment vertical="center"/>
      <protection locked="0"/>
    </xf>
    <xf numFmtId="180" fontId="81" fillId="5" borderId="0" xfId="0" applyNumberFormat="1" applyFont="1" applyFill="1" applyAlignment="1" applyProtection="1">
      <alignment vertical="center"/>
      <protection locked="0"/>
    </xf>
    <xf numFmtId="0" fontId="81" fillId="5" borderId="0" xfId="0" applyFont="1" applyFill="1" applyAlignment="1" applyProtection="1">
      <alignment horizontal="center"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6" fillId="5" borderId="34" xfId="0" applyFont="1" applyFill="1" applyBorder="1" applyAlignment="1" applyProtection="1">
      <alignment horizontal="center" vertical="center"/>
      <protection locked="0"/>
    </xf>
    <xf numFmtId="180" fontId="76" fillId="5" borderId="0" xfId="0" applyNumberFormat="1" applyFont="1" applyFill="1" applyAlignment="1" applyProtection="1">
      <alignment horizontal="center" vertical="center"/>
      <protection locked="0"/>
    </xf>
    <xf numFmtId="0" fontId="81" fillId="0" borderId="0" xfId="0" applyFont="1" applyFill="1" applyAlignment="1" applyProtection="1">
      <alignment vertical="center"/>
      <protection locked="0"/>
    </xf>
    <xf numFmtId="0" fontId="81" fillId="0" borderId="0" xfId="0" applyFont="1" applyAlignment="1" applyProtection="1">
      <alignment vertical="center"/>
      <protection locked="0"/>
    </xf>
    <xf numFmtId="180" fontId="81" fillId="0" borderId="0" xfId="0" applyNumberFormat="1" applyFont="1" applyAlignment="1" applyProtection="1">
      <alignment vertical="center"/>
      <protection locked="0"/>
    </xf>
    <xf numFmtId="0" fontId="76" fillId="0" borderId="0" xfId="0" applyFont="1" applyAlignment="1" applyProtection="1">
      <alignment vertical="center"/>
      <protection locked="0"/>
    </xf>
    <xf numFmtId="0" fontId="76" fillId="0" borderId="0" xfId="0" applyFont="1" applyAlignment="1" applyProtection="1">
      <alignment vertical="center" wrapText="1"/>
      <protection locked="0"/>
    </xf>
    <xf numFmtId="0" fontId="133" fillId="0" borderId="100" xfId="0" applyFont="1" applyBorder="1" applyAlignment="1" applyProtection="1">
      <alignment horizontal="center" vertical="center" wrapText="1"/>
      <protection locked="0"/>
    </xf>
    <xf numFmtId="0" fontId="133" fillId="0" borderId="100" xfId="0" applyNumberFormat="1" applyFont="1" applyFill="1" applyBorder="1" applyAlignment="1" applyProtection="1">
      <alignment horizontal="center" vertical="center" wrapText="1"/>
      <protection locked="0"/>
    </xf>
    <xf numFmtId="0" fontId="133" fillId="0" borderId="100" xfId="0" applyFont="1" applyFill="1" applyBorder="1" applyAlignment="1" applyProtection="1">
      <alignment horizontal="center" vertical="center" wrapText="1"/>
      <protection locked="0"/>
    </xf>
    <xf numFmtId="0" fontId="133" fillId="0" borderId="101" xfId="0" applyFont="1" applyBorder="1" applyAlignment="1" applyProtection="1">
      <alignment horizontal="center" vertical="center" wrapText="1"/>
      <protection locked="0"/>
    </xf>
    <xf numFmtId="0" fontId="134" fillId="0" borderId="0" xfId="0" applyNumberFormat="1" applyFont="1" applyAlignment="1" applyProtection="1">
      <alignment horizontal="center" vertical="center"/>
      <protection locked="0"/>
    </xf>
    <xf numFmtId="0" fontId="134"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49" fontId="57" fillId="5" borderId="0" xfId="0" applyNumberFormat="1" applyFont="1" applyFill="1" applyBorder="1" applyAlignment="1" applyProtection="1">
      <alignment horizontal="center" vertical="center" wrapText="1"/>
      <protection locked="0"/>
    </xf>
    <xf numFmtId="0" fontId="57" fillId="5" borderId="0" xfId="0"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57" fillId="5"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49" fontId="57" fillId="0" borderId="0" xfId="0" applyNumberFormat="1" applyFont="1" applyFill="1" applyBorder="1" applyAlignment="1" applyProtection="1">
      <alignment horizontal="center" vertical="center" wrapText="1"/>
      <protection locked="0"/>
    </xf>
    <xf numFmtId="0" fontId="57" fillId="0" borderId="0" xfId="0" applyFont="1" applyFill="1" applyAlignment="1" applyProtection="1">
      <alignment horizontal="center" vertical="center"/>
      <protection locked="0"/>
    </xf>
    <xf numFmtId="0" fontId="133" fillId="0" borderId="0" xfId="0" applyFont="1" applyBorder="1" applyAlignment="1" applyProtection="1">
      <alignment horizontal="center" vertical="center" wrapText="1"/>
      <protection locked="0"/>
    </xf>
    <xf numFmtId="0" fontId="133" fillId="0" borderId="0" xfId="0" applyNumberFormat="1" applyFont="1" applyBorder="1" applyAlignment="1" applyProtection="1">
      <alignment horizontal="center" vertical="center" wrapText="1"/>
      <protection locked="0"/>
    </xf>
    <xf numFmtId="0" fontId="133" fillId="0" borderId="18" xfId="0" applyNumberFormat="1" applyFont="1" applyBorder="1" applyAlignment="1" applyProtection="1">
      <alignment horizontal="center" vertical="center" wrapText="1"/>
      <protection locked="0"/>
    </xf>
    <xf numFmtId="0" fontId="134" fillId="0" borderId="0" xfId="0" applyFont="1" applyAlignment="1" applyProtection="1">
      <alignment horizontal="center" vertical="center" wrapText="1"/>
      <protection locked="0"/>
    </xf>
    <xf numFmtId="0" fontId="134" fillId="0" borderId="0" xfId="0" applyNumberFormat="1" applyFont="1" applyFill="1" applyAlignment="1" applyProtection="1">
      <alignment horizontal="center" vertical="center" wrapText="1"/>
      <protection locked="0"/>
    </xf>
    <xf numFmtId="0" fontId="134" fillId="0" borderId="0" xfId="0" applyFont="1" applyFill="1" applyAlignment="1" applyProtection="1">
      <alignment horizontal="center" vertical="center" wrapText="1"/>
      <protection locked="0"/>
    </xf>
    <xf numFmtId="0" fontId="57" fillId="0" borderId="0" xfId="0" applyFont="1" applyAlignment="1" applyProtection="1">
      <alignment horizontal="center" vertical="center" wrapText="1"/>
      <protection locked="0"/>
    </xf>
    <xf numFmtId="0" fontId="57" fillId="0" borderId="0" xfId="0" applyNumberFormat="1" applyFont="1" applyFill="1" applyAlignment="1" applyProtection="1">
      <alignment horizontal="center" vertical="center" wrapText="1"/>
      <protection locked="0"/>
    </xf>
    <xf numFmtId="0" fontId="57" fillId="0" borderId="0" xfId="0" applyFont="1" applyFill="1" applyAlignment="1" applyProtection="1">
      <alignment horizontal="center" vertical="center" wrapText="1"/>
      <protection locked="0"/>
    </xf>
    <xf numFmtId="0" fontId="57" fillId="0" borderId="0" xfId="0" applyNumberFormat="1" applyFont="1" applyAlignment="1" applyProtection="1">
      <alignment horizontal="center" vertical="center"/>
      <protection locked="0"/>
    </xf>
    <xf numFmtId="0" fontId="57" fillId="5" borderId="0" xfId="0" applyFont="1" applyFill="1" applyAlignment="1" applyProtection="1">
      <alignment horizontal="center" vertical="center" wrapText="1"/>
      <protection locked="0"/>
    </xf>
    <xf numFmtId="0" fontId="57" fillId="5" borderId="0" xfId="0" applyNumberFormat="1" applyFont="1" applyFill="1" applyAlignment="1" applyProtection="1">
      <alignment horizontal="center" vertical="center" wrapText="1"/>
      <protection locked="0"/>
    </xf>
    <xf numFmtId="0" fontId="81" fillId="5" borderId="0" xfId="0" applyFont="1" applyFill="1" applyProtection="1">
      <alignment vertical="center"/>
      <protection locked="0"/>
    </xf>
    <xf numFmtId="0" fontId="158" fillId="5" borderId="0" xfId="0" applyFont="1" applyFill="1" applyAlignment="1" applyProtection="1">
      <alignment horizontal="center" vertical="center"/>
      <protection locked="0"/>
    </xf>
    <xf numFmtId="0" fontId="163" fillId="5" borderId="0" xfId="0" applyFont="1" applyFill="1" applyBorder="1" applyAlignment="1" applyProtection="1">
      <alignment horizontal="center" vertical="center"/>
      <protection locked="0"/>
    </xf>
    <xf numFmtId="0" fontId="163" fillId="5" borderId="0" xfId="0" applyFont="1" applyFill="1" applyProtection="1">
      <alignment vertical="center"/>
      <protection locked="0"/>
    </xf>
    <xf numFmtId="0" fontId="7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9" fontId="81" fillId="5" borderId="0" xfId="0" applyNumberFormat="1" applyFont="1" applyFill="1" applyAlignment="1" applyProtection="1">
      <alignment horizontal="center" vertical="center"/>
      <protection locked="0"/>
    </xf>
    <xf numFmtId="10" fontId="81" fillId="5" borderId="0" xfId="0" applyNumberFormat="1" applyFont="1" applyFill="1" applyAlignment="1" applyProtection="1">
      <alignment horizontal="center" vertical="center"/>
      <protection locked="0"/>
    </xf>
    <xf numFmtId="0" fontId="81" fillId="5" borderId="0" xfId="4" applyFont="1" applyFill="1" applyBorder="1" applyAlignment="1" applyProtection="1">
      <alignment horizontal="left" vertical="center" wrapText="1"/>
      <protection locked="0"/>
    </xf>
    <xf numFmtId="0" fontId="154" fillId="0" borderId="0" xfId="0" applyFont="1" applyFill="1" applyProtection="1">
      <alignment vertical="center"/>
      <protection locked="0"/>
    </xf>
    <xf numFmtId="0" fontId="154" fillId="5" borderId="0" xfId="4" applyFont="1" applyFill="1" applyAlignment="1" applyProtection="1">
      <alignment vertical="center" wrapText="1"/>
      <protection locked="0"/>
    </xf>
    <xf numFmtId="0" fontId="154" fillId="5" borderId="0" xfId="4" applyFont="1" applyFill="1" applyProtection="1">
      <protection locked="0"/>
    </xf>
    <xf numFmtId="0" fontId="81" fillId="8" borderId="0" xfId="0" applyFont="1" applyFill="1" applyBorder="1" applyProtection="1">
      <alignment vertical="center"/>
      <protection locked="0"/>
    </xf>
    <xf numFmtId="0" fontId="81" fillId="8" borderId="0" xfId="0" applyFont="1" applyFill="1" applyProtection="1">
      <alignment vertical="center"/>
      <protection locked="0"/>
    </xf>
    <xf numFmtId="0" fontId="81" fillId="8" borderId="0" xfId="0" applyFont="1" applyFill="1" applyBorder="1" applyAlignment="1" applyProtection="1">
      <alignment horizontal="right" vertical="center"/>
      <protection locked="0"/>
    </xf>
    <xf numFmtId="0" fontId="90" fillId="8" borderId="0" xfId="0" applyFont="1" applyFill="1" applyAlignment="1" applyProtection="1">
      <alignment horizontal="left" vertical="center"/>
      <protection locked="0"/>
    </xf>
    <xf numFmtId="2" fontId="81" fillId="8" borderId="0" xfId="0" applyNumberFormat="1" applyFont="1" applyFill="1" applyAlignment="1" applyProtection="1">
      <alignment vertical="center" wrapText="1"/>
      <protection locked="0"/>
    </xf>
    <xf numFmtId="0" fontId="90" fillId="8" borderId="0" xfId="0"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181" fillId="6" borderId="27" xfId="0" applyFont="1" applyFill="1" applyBorder="1" applyAlignment="1" applyProtection="1">
      <alignment horizontal="center" vertical="center" wrapText="1"/>
    </xf>
    <xf numFmtId="0" fontId="181" fillId="6" borderId="6" xfId="0" applyFont="1" applyFill="1" applyBorder="1" applyAlignment="1" applyProtection="1">
      <alignment horizontal="justify" vertical="center" wrapText="1"/>
    </xf>
    <xf numFmtId="0" fontId="181" fillId="6" borderId="7" xfId="0" applyFont="1" applyFill="1" applyBorder="1" applyAlignment="1" applyProtection="1">
      <alignment horizontal="justify" vertical="center" wrapText="1"/>
    </xf>
    <xf numFmtId="0" fontId="103" fillId="5" borderId="0" xfId="0" applyFont="1" applyFill="1" applyAlignment="1" applyProtection="1">
      <alignment vertical="center"/>
      <protection locked="0"/>
    </xf>
    <xf numFmtId="49" fontId="106" fillId="5" borderId="0" xfId="0" applyNumberFormat="1" applyFont="1" applyFill="1" applyBorder="1" applyAlignment="1" applyProtection="1">
      <alignment horizontal="center"/>
      <protection locked="0"/>
    </xf>
    <xf numFmtId="49" fontId="106"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111" fillId="5" borderId="0" xfId="0" applyFont="1" applyFill="1" applyBorder="1" applyAlignment="1" applyProtection="1">
      <alignment vertical="center"/>
      <protection locked="0"/>
    </xf>
    <xf numFmtId="49" fontId="102" fillId="5" borderId="0" xfId="0" applyNumberFormat="1" applyFont="1" applyFill="1" applyBorder="1" applyAlignment="1" applyProtection="1">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111" fillId="8" borderId="0" xfId="0" applyFont="1" applyFill="1" applyAlignment="1" applyProtection="1">
      <alignment vertical="center"/>
      <protection locked="0"/>
    </xf>
    <xf numFmtId="0" fontId="111" fillId="0" borderId="0" xfId="0" applyFont="1" applyFill="1" applyAlignment="1" applyProtection="1">
      <alignment vertical="center"/>
      <protection locked="0"/>
    </xf>
    <xf numFmtId="0" fontId="103" fillId="5" borderId="0" xfId="0" applyFont="1" applyFill="1" applyAlignment="1" applyProtection="1">
      <alignment horizontal="center" vertical="center"/>
      <protection locked="0"/>
    </xf>
    <xf numFmtId="0" fontId="111" fillId="5" borderId="0" xfId="0" applyFont="1" applyFill="1" applyAlignment="1" applyProtection="1">
      <alignment vertical="center"/>
      <protection locked="0"/>
    </xf>
    <xf numFmtId="0" fontId="121" fillId="8" borderId="0" xfId="0" applyFont="1" applyFill="1" applyAlignment="1" applyProtection="1">
      <alignment vertical="center"/>
      <protection locked="0"/>
    </xf>
    <xf numFmtId="0" fontId="121" fillId="0" borderId="0" xfId="0" applyFont="1" applyFill="1" applyAlignment="1" applyProtection="1">
      <alignment vertical="center"/>
      <protection locked="0"/>
    </xf>
    <xf numFmtId="49" fontId="100" fillId="5" borderId="0" xfId="0" applyNumberFormat="1" applyFont="1" applyFill="1" applyBorder="1" applyAlignment="1" applyProtection="1">
      <alignment horizontal="left" vertical="center"/>
      <protection locked="0"/>
    </xf>
    <xf numFmtId="0" fontId="100" fillId="5" borderId="0" xfId="0" applyFont="1" applyFill="1" applyBorder="1" applyAlignment="1" applyProtection="1">
      <alignment horizontal="left" vertical="center"/>
      <protection locked="0"/>
    </xf>
    <xf numFmtId="0" fontId="122"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vertical="center"/>
      <protection locked="0"/>
    </xf>
    <xf numFmtId="0" fontId="91" fillId="5" borderId="0" xfId="0" applyFont="1" applyFill="1" applyBorder="1" applyAlignment="1" applyProtection="1">
      <alignment horizontal="left" vertical="center"/>
      <protection locked="0"/>
    </xf>
    <xf numFmtId="180" fontId="122" fillId="5" borderId="0" xfId="0" applyNumberFormat="1" applyFont="1" applyFill="1" applyBorder="1" applyAlignment="1" applyProtection="1">
      <alignment horizontal="center" vertical="center"/>
      <protection locked="0"/>
    </xf>
    <xf numFmtId="49" fontId="123" fillId="5" borderId="0" xfId="0" applyNumberFormat="1" applyFont="1" applyFill="1" applyBorder="1" applyAlignment="1" applyProtection="1">
      <alignment horizontal="left" vertical="center"/>
      <protection locked="0"/>
    </xf>
    <xf numFmtId="0" fontId="123" fillId="5" borderId="0" xfId="0" applyFont="1" applyFill="1" applyBorder="1" applyAlignment="1" applyProtection="1">
      <alignment horizontal="left" vertical="center"/>
      <protection locked="0"/>
    </xf>
    <xf numFmtId="0" fontId="124" fillId="5" borderId="0" xfId="0" applyFont="1" applyFill="1" applyBorder="1" applyAlignment="1" applyProtection="1">
      <alignment horizontal="center" vertical="center"/>
      <protection locked="0"/>
    </xf>
    <xf numFmtId="0" fontId="125" fillId="5" borderId="0" xfId="0" applyFont="1" applyFill="1" applyBorder="1" applyAlignment="1" applyProtection="1">
      <alignment vertical="center"/>
      <protection locked="0"/>
    </xf>
    <xf numFmtId="0" fontId="126" fillId="5" borderId="0" xfId="0" applyFont="1" applyFill="1" applyBorder="1" applyAlignment="1" applyProtection="1">
      <alignment horizontal="left" vertical="center"/>
      <protection locked="0"/>
    </xf>
    <xf numFmtId="180" fontId="124" fillId="5" borderId="0" xfId="0" applyNumberFormat="1" applyFont="1" applyFill="1" applyBorder="1" applyAlignment="1" applyProtection="1">
      <alignment horizontal="center" vertical="center"/>
      <protection locked="0"/>
    </xf>
    <xf numFmtId="0" fontId="154" fillId="5" borderId="0" xfId="0" applyFont="1" applyFill="1" applyAlignment="1" applyProtection="1">
      <protection locked="0"/>
    </xf>
    <xf numFmtId="0" fontId="154" fillId="5" borderId="0" xfId="0" applyFont="1" applyFill="1" applyAlignment="1" applyProtection="1">
      <alignment horizontal="left"/>
      <protection locked="0"/>
    </xf>
    <xf numFmtId="0" fontId="80" fillId="5" borderId="0" xfId="0" applyFont="1" applyFill="1" applyAlignment="1" applyProtection="1">
      <protection locked="0"/>
    </xf>
    <xf numFmtId="0" fontId="80" fillId="5" borderId="0" xfId="0" applyFont="1" applyFill="1" applyAlignment="1" applyProtection="1">
      <alignment horizontal="left"/>
      <protection locked="0"/>
    </xf>
    <xf numFmtId="0" fontId="127" fillId="5" borderId="0" xfId="0" applyFont="1" applyFill="1" applyAlignment="1" applyProtection="1">
      <alignment horizontal="left" vertical="center"/>
      <protection locked="0"/>
    </xf>
    <xf numFmtId="0" fontId="81" fillId="5" borderId="0" xfId="0" applyFont="1" applyFill="1" applyAlignment="1" applyProtection="1">
      <alignment horizontal="left" vertical="center"/>
      <protection locked="0"/>
    </xf>
    <xf numFmtId="0" fontId="111" fillId="5" borderId="0" xfId="0" applyFont="1" applyFill="1" applyAlignment="1" applyProtection="1">
      <alignment horizontal="left" vertical="center"/>
      <protection locked="0"/>
    </xf>
    <xf numFmtId="49" fontId="76" fillId="8" borderId="0" xfId="0" applyNumberFormat="1" applyFont="1" applyFill="1" applyAlignment="1" applyProtection="1">
      <protection locked="0"/>
    </xf>
    <xf numFmtId="0" fontId="76" fillId="8" borderId="0" xfId="0" applyFont="1" applyFill="1" applyAlignment="1" applyProtection="1">
      <protection locked="0"/>
    </xf>
    <xf numFmtId="0" fontId="111" fillId="8" borderId="0" xfId="0" applyFont="1" applyFill="1" applyAlignment="1" applyProtection="1">
      <alignment horizontal="left" vertical="center"/>
      <protection locked="0"/>
    </xf>
    <xf numFmtId="176" fontId="76" fillId="8" borderId="0" xfId="0" applyNumberFormat="1" applyFont="1" applyFill="1" applyAlignment="1" applyProtection="1">
      <alignment horizontal="center"/>
      <protection locked="0"/>
    </xf>
    <xf numFmtId="0" fontId="76" fillId="8" borderId="0" xfId="0" applyFont="1" applyFill="1" applyBorder="1" applyAlignment="1" applyProtection="1">
      <protection locked="0"/>
    </xf>
    <xf numFmtId="0" fontId="91" fillId="8" borderId="0" xfId="0" applyFont="1" applyFill="1" applyBorder="1" applyAlignment="1" applyProtection="1">
      <alignment horizontal="left" vertical="center"/>
      <protection locked="0"/>
    </xf>
    <xf numFmtId="180" fontId="91" fillId="8" borderId="0" xfId="0" applyNumberFormat="1" applyFont="1" applyFill="1" applyBorder="1" applyAlignment="1" applyProtection="1">
      <alignment horizontal="center" vertical="center"/>
      <protection locked="0"/>
    </xf>
    <xf numFmtId="0" fontId="91" fillId="8" borderId="0" xfId="0" applyFont="1" applyFill="1" applyBorder="1" applyAlignment="1" applyProtection="1">
      <alignment vertical="center" wrapText="1"/>
      <protection locked="0"/>
    </xf>
    <xf numFmtId="10" fontId="91" fillId="8" borderId="0" xfId="0" applyNumberFormat="1" applyFont="1" applyFill="1" applyBorder="1" applyAlignment="1" applyProtection="1">
      <alignment horizontal="center"/>
      <protection locked="0"/>
    </xf>
    <xf numFmtId="49" fontId="100" fillId="8" borderId="0" xfId="0" applyNumberFormat="1" applyFont="1" applyFill="1" applyBorder="1" applyAlignment="1" applyProtection="1">
      <alignment horizontal="left" vertical="center"/>
      <protection locked="0"/>
    </xf>
    <xf numFmtId="0" fontId="122" fillId="8" borderId="0" xfId="0" applyFont="1" applyFill="1" applyBorder="1" applyAlignment="1" applyProtection="1">
      <alignment horizontal="center"/>
      <protection locked="0"/>
    </xf>
    <xf numFmtId="0" fontId="111" fillId="8" borderId="0" xfId="0" applyFont="1" applyFill="1" applyBorder="1" applyAlignment="1" applyProtection="1">
      <alignment vertical="center"/>
      <protection locked="0"/>
    </xf>
    <xf numFmtId="49" fontId="111" fillId="8" borderId="0" xfId="0" applyNumberFormat="1" applyFont="1" applyFill="1" applyAlignment="1" applyProtection="1">
      <alignment vertical="center"/>
      <protection locked="0"/>
    </xf>
    <xf numFmtId="0" fontId="111" fillId="8" borderId="0" xfId="0" applyFont="1" applyFill="1" applyAlignment="1" applyProtection="1">
      <alignment horizontal="center" vertical="center"/>
      <protection locked="0"/>
    </xf>
    <xf numFmtId="49" fontId="111" fillId="0" borderId="0" xfId="0" applyNumberFormat="1" applyFont="1" applyFill="1" applyAlignment="1" applyProtection="1">
      <alignment vertical="center"/>
      <protection locked="0"/>
    </xf>
    <xf numFmtId="0" fontId="111" fillId="0" borderId="0" xfId="0" applyFont="1" applyFill="1" applyAlignment="1" applyProtection="1">
      <alignment horizontal="center" vertical="center"/>
      <protection locked="0"/>
    </xf>
    <xf numFmtId="0" fontId="111" fillId="0" borderId="0" xfId="0" applyFont="1" applyFill="1" applyAlignment="1" applyProtection="1">
      <alignment horizontal="left" vertical="center"/>
      <protection locked="0"/>
    </xf>
    <xf numFmtId="0" fontId="102" fillId="5" borderId="2" xfId="2" applyFont="1" applyFill="1" applyBorder="1" applyAlignment="1" applyProtection="1">
      <alignment vertical="center"/>
      <protection locked="0"/>
    </xf>
    <xf numFmtId="0" fontId="76" fillId="8" borderId="0" xfId="0" applyFont="1" applyFill="1" applyAlignment="1" applyProtection="1">
      <alignment horizontal="center"/>
      <protection locked="0"/>
    </xf>
    <xf numFmtId="0" fontId="156" fillId="5" borderId="59" xfId="2" applyFont="1" applyFill="1" applyBorder="1" applyAlignment="1" applyProtection="1">
      <alignment vertical="center"/>
      <protection locked="0"/>
    </xf>
    <xf numFmtId="0" fontId="75" fillId="5" borderId="0" xfId="2" applyFont="1" applyFill="1" applyBorder="1" applyAlignment="1" applyProtection="1">
      <alignment vertical="center"/>
      <protection locked="0"/>
    </xf>
    <xf numFmtId="178" fontId="102" fillId="5" borderId="2" xfId="2" applyNumberFormat="1" applyFont="1" applyFill="1" applyBorder="1" applyAlignment="1" applyProtection="1">
      <alignment horizontal="right" vertical="center"/>
      <protection locked="0"/>
    </xf>
    <xf numFmtId="0" fontId="62" fillId="5" borderId="10" xfId="2" applyFont="1" applyFill="1" applyBorder="1" applyAlignment="1" applyProtection="1">
      <alignment vertical="center"/>
      <protection locked="0"/>
    </xf>
    <xf numFmtId="0" fontId="102" fillId="5" borderId="10" xfId="2" applyFont="1" applyFill="1" applyBorder="1" applyAlignment="1" applyProtection="1">
      <alignment horizontal="right" vertical="center"/>
      <protection locked="0"/>
    </xf>
    <xf numFmtId="0" fontId="102" fillId="5" borderId="0" xfId="2" applyFont="1" applyFill="1" applyBorder="1" applyAlignment="1" applyProtection="1">
      <alignment vertical="center"/>
      <protection locked="0"/>
    </xf>
    <xf numFmtId="0" fontId="75" fillId="5" borderId="30" xfId="0" applyFont="1" applyFill="1" applyBorder="1" applyAlignment="1" applyProtection="1">
      <protection locked="0"/>
    </xf>
    <xf numFmtId="0" fontId="75" fillId="5" borderId="57" xfId="0" applyFont="1" applyFill="1" applyBorder="1" applyAlignment="1" applyProtection="1">
      <protection locked="0"/>
    </xf>
    <xf numFmtId="0" fontId="104" fillId="8" borderId="0" xfId="0" applyFont="1" applyFill="1" applyAlignment="1" applyProtection="1">
      <protection locked="0"/>
    </xf>
    <xf numFmtId="0" fontId="80" fillId="8" borderId="0" xfId="0" applyFont="1" applyFill="1" applyAlignment="1" applyProtection="1">
      <protection locked="0"/>
    </xf>
    <xf numFmtId="0" fontId="80" fillId="0" borderId="0" xfId="0" applyFont="1" applyFill="1" applyAlignment="1" applyProtection="1">
      <protection locked="0"/>
    </xf>
    <xf numFmtId="0" fontId="81" fillId="8" borderId="0" xfId="0" applyFont="1" applyFill="1" applyAlignment="1" applyProtection="1">
      <protection locked="0"/>
    </xf>
    <xf numFmtId="0" fontId="81" fillId="0" borderId="0" xfId="0" applyFont="1" applyFill="1" applyAlignment="1" applyProtection="1">
      <protection locked="0"/>
    </xf>
    <xf numFmtId="0" fontId="85" fillId="8" borderId="0" xfId="0" applyFont="1" applyFill="1" applyProtection="1">
      <alignment vertical="center"/>
      <protection locked="0"/>
    </xf>
    <xf numFmtId="0" fontId="85" fillId="0" borderId="0" xfId="0" applyFont="1" applyFill="1" applyProtection="1">
      <alignment vertical="center"/>
      <protection locked="0"/>
    </xf>
    <xf numFmtId="0" fontId="85" fillId="8" borderId="0" xfId="0" applyFont="1" applyFill="1" applyAlignment="1" applyProtection="1">
      <protection locked="0"/>
    </xf>
    <xf numFmtId="0" fontId="105" fillId="8" borderId="0" xfId="0" applyFont="1" applyFill="1" applyProtection="1">
      <alignment vertical="center"/>
      <protection locked="0"/>
    </xf>
    <xf numFmtId="0" fontId="84" fillId="8" borderId="0" xfId="0" applyFont="1" applyFill="1" applyAlignment="1" applyProtection="1">
      <protection locked="0"/>
    </xf>
    <xf numFmtId="0" fontId="105" fillId="8" borderId="0" xfId="0" applyFont="1" applyFill="1" applyAlignment="1" applyProtection="1">
      <protection locked="0"/>
    </xf>
    <xf numFmtId="0" fontId="85" fillId="8" borderId="0" xfId="0"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81" fillId="3" borderId="0" xfId="0" applyFont="1" applyFill="1" applyAlignment="1" applyProtection="1">
      <alignment horizontal="center"/>
      <protection locked="0"/>
    </xf>
    <xf numFmtId="185" fontId="81" fillId="3" borderId="0" xfId="0" applyNumberFormat="1" applyFont="1" applyFill="1" applyAlignment="1" applyProtection="1">
      <alignment horizontal="center"/>
      <protection locked="0"/>
    </xf>
    <xf numFmtId="0" fontId="105" fillId="8" borderId="0" xfId="0" applyFont="1" applyFill="1" applyAlignment="1" applyProtection="1">
      <alignment vertical="center" wrapText="1"/>
      <protection locked="0"/>
    </xf>
    <xf numFmtId="0" fontId="102" fillId="5" borderId="0" xfId="0" applyFont="1" applyFill="1" applyBorder="1" applyAlignment="1" applyProtection="1">
      <alignment vertical="center"/>
      <protection locked="0"/>
    </xf>
    <xf numFmtId="0" fontId="106" fillId="5" borderId="0" xfId="0" applyFont="1" applyFill="1" applyBorder="1" applyAlignment="1" applyProtection="1">
      <alignment vertical="center"/>
      <protection locked="0"/>
    </xf>
    <xf numFmtId="0" fontId="107" fillId="5" borderId="0" xfId="0" applyFont="1" applyFill="1" applyBorder="1" applyAlignment="1" applyProtection="1">
      <alignment vertical="center"/>
      <protection locked="0"/>
    </xf>
    <xf numFmtId="188" fontId="106" fillId="5" borderId="0" xfId="0" applyNumberFormat="1" applyFont="1" applyFill="1" applyBorder="1" applyAlignment="1" applyProtection="1">
      <alignment horizontal="center" vertical="center"/>
      <protection locked="0"/>
    </xf>
    <xf numFmtId="182" fontId="106" fillId="5" borderId="0" xfId="0" applyNumberFormat="1" applyFont="1" applyFill="1" applyBorder="1" applyAlignment="1" applyProtection="1">
      <alignment vertical="center"/>
      <protection locked="0"/>
    </xf>
    <xf numFmtId="0" fontId="106" fillId="5" borderId="0"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vertical="center" wrapText="1"/>
      <protection locked="0"/>
    </xf>
    <xf numFmtId="0" fontId="89" fillId="5" borderId="0"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protection locked="0"/>
    </xf>
    <xf numFmtId="0" fontId="76" fillId="5" borderId="18" xfId="0" applyFont="1" applyFill="1" applyBorder="1" applyAlignment="1" applyProtection="1">
      <alignment horizontal="center" vertical="center"/>
      <protection locked="0"/>
    </xf>
    <xf numFmtId="182" fontId="109" fillId="5" borderId="0"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horizontal="center" vertical="center" wrapText="1"/>
      <protection locked="0"/>
    </xf>
    <xf numFmtId="0" fontId="89" fillId="5" borderId="18" xfId="0" applyFont="1" applyFill="1" applyBorder="1" applyAlignment="1" applyProtection="1">
      <alignment horizontal="center" vertical="center"/>
      <protection locked="0"/>
    </xf>
    <xf numFmtId="182" fontId="110"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89" fillId="5" borderId="0" xfId="0" applyNumberFormat="1" applyFont="1" applyFill="1" applyBorder="1" applyAlignment="1" applyProtection="1">
      <alignment vertical="center" wrapText="1"/>
      <protection locked="0"/>
    </xf>
    <xf numFmtId="0" fontId="89" fillId="5" borderId="0" xfId="0" applyFont="1" applyFill="1" applyAlignment="1" applyProtection="1">
      <alignment horizontal="center" vertical="center"/>
      <protection locked="0"/>
    </xf>
    <xf numFmtId="0" fontId="110" fillId="5" borderId="0" xfId="0" applyFont="1" applyFill="1" applyAlignment="1" applyProtection="1">
      <alignment horizontal="center" vertical="center"/>
      <protection locked="0"/>
    </xf>
    <xf numFmtId="14" fontId="89" fillId="5" borderId="0" xfId="0" applyNumberFormat="1" applyFont="1" applyFill="1" applyAlignment="1" applyProtection="1">
      <alignment horizontal="center" vertical="center"/>
      <protection locked="0"/>
    </xf>
    <xf numFmtId="9" fontId="89" fillId="5" borderId="0" xfId="0" applyNumberFormat="1" applyFont="1" applyFill="1" applyAlignment="1" applyProtection="1">
      <alignment horizontal="center" vertical="center"/>
      <protection locked="0"/>
    </xf>
    <xf numFmtId="188" fontId="89" fillId="5" borderId="0" xfId="0" applyNumberFormat="1" applyFont="1" applyFill="1" applyAlignment="1" applyProtection="1">
      <alignment horizontal="center" vertical="center"/>
      <protection locked="0"/>
    </xf>
    <xf numFmtId="182" fontId="89" fillId="5" borderId="0" xfId="0" applyNumberFormat="1" applyFont="1" applyFill="1" applyAlignment="1" applyProtection="1">
      <alignment horizontal="center" vertical="center"/>
      <protection locked="0"/>
    </xf>
    <xf numFmtId="177" fontId="89" fillId="5" borderId="0" xfId="0" applyNumberFormat="1" applyFont="1" applyFill="1" applyAlignment="1" applyProtection="1">
      <alignment horizontal="center" vertical="center"/>
      <protection locked="0"/>
    </xf>
    <xf numFmtId="188" fontId="110" fillId="5" borderId="0" xfId="0" applyNumberFormat="1" applyFont="1" applyFill="1" applyAlignment="1" applyProtection="1">
      <alignment horizontal="center" vertical="center"/>
      <protection locked="0"/>
    </xf>
    <xf numFmtId="182" fontId="110" fillId="5" borderId="0" xfId="0" applyNumberFormat="1" applyFont="1" applyFill="1" applyAlignment="1" applyProtection="1">
      <alignment horizontal="center" vertical="center"/>
      <protection locked="0"/>
    </xf>
    <xf numFmtId="0" fontId="207" fillId="5" borderId="0" xfId="0" applyFont="1" applyFill="1" applyAlignment="1" applyProtection="1">
      <alignment horizontal="left" vertical="center"/>
      <protection locked="0"/>
    </xf>
    <xf numFmtId="0" fontId="114" fillId="5" borderId="0" xfId="0" applyFont="1" applyFill="1" applyAlignment="1" applyProtection="1">
      <alignment horizontal="center" vertical="center"/>
      <protection locked="0"/>
    </xf>
    <xf numFmtId="0" fontId="91" fillId="5" borderId="0" xfId="0" applyFont="1" applyFill="1" applyAlignment="1" applyProtection="1">
      <protection locked="0"/>
    </xf>
    <xf numFmtId="0" fontId="89" fillId="5" borderId="0" xfId="0" applyFont="1" applyFill="1" applyBorder="1" applyAlignment="1" applyProtection="1">
      <protection locked="0"/>
    </xf>
    <xf numFmtId="9" fontId="76" fillId="5" borderId="0" xfId="0" applyNumberFormat="1" applyFont="1" applyFill="1" applyBorder="1" applyAlignment="1" applyProtection="1">
      <alignment horizontal="center" vertical="center" wrapText="1"/>
      <protection locked="0"/>
    </xf>
    <xf numFmtId="49" fontId="76" fillId="5" borderId="0" xfId="0" applyNumberFormat="1" applyFont="1" applyFill="1" applyBorder="1" applyAlignment="1" applyProtection="1">
      <alignment horizontal="center" vertical="center" wrapText="1"/>
      <protection locked="0"/>
    </xf>
    <xf numFmtId="49" fontId="76" fillId="5" borderId="0" xfId="0" applyNumberFormat="1" applyFont="1" applyFill="1" applyBorder="1" applyAlignment="1" applyProtection="1">
      <alignment horizontal="center" vertical="center"/>
      <protection locked="0"/>
    </xf>
    <xf numFmtId="49" fontId="76" fillId="5" borderId="0" xfId="0" applyNumberFormat="1" applyFont="1" applyFill="1" applyAlignment="1" applyProtection="1">
      <alignment horizontal="center" vertical="center"/>
      <protection locked="0"/>
    </xf>
    <xf numFmtId="0" fontId="76" fillId="5" borderId="0" xfId="0" applyNumberFormat="1" applyFont="1" applyFill="1" applyBorder="1" applyAlignment="1" applyProtection="1">
      <alignment horizontal="center" vertical="center" wrapText="1"/>
      <protection locked="0"/>
    </xf>
    <xf numFmtId="0" fontId="154" fillId="5" borderId="0" xfId="0" applyFont="1" applyFill="1" applyBorder="1" applyAlignment="1" applyProtection="1">
      <alignment vertical="center"/>
      <protection locked="0"/>
    </xf>
    <xf numFmtId="0" fontId="110"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0" fontId="89" fillId="5" borderId="0" xfId="0" applyNumberFormat="1"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85" fillId="5" borderId="0" xfId="0" applyFont="1" applyFill="1" applyAlignment="1" applyProtection="1">
      <alignment horizontal="center" vertical="center"/>
      <protection locked="0"/>
    </xf>
    <xf numFmtId="0" fontId="85" fillId="5" borderId="0" xfId="0" applyFont="1" applyFill="1" applyBorder="1" applyAlignment="1" applyProtection="1">
      <alignment horizontal="center" vertical="center"/>
      <protection locked="0"/>
    </xf>
    <xf numFmtId="9" fontId="85" fillId="5" borderId="0" xfId="0" applyNumberFormat="1" applyFont="1" applyFill="1" applyBorder="1" applyAlignment="1" applyProtection="1">
      <alignment horizontal="center" vertical="center"/>
      <protection locked="0"/>
    </xf>
    <xf numFmtId="0" fontId="85" fillId="5" borderId="0" xfId="0" applyFont="1" applyFill="1" applyBorder="1" applyAlignment="1" applyProtection="1">
      <alignment vertical="center" wrapText="1"/>
      <protection locked="0"/>
    </xf>
    <xf numFmtId="0" fontId="76" fillId="5" borderId="0" xfId="0" applyFont="1" applyFill="1" applyBorder="1" applyAlignment="1" applyProtection="1">
      <alignment vertical="center" wrapText="1"/>
      <protection locked="0"/>
    </xf>
    <xf numFmtId="0" fontId="89" fillId="8" borderId="0" xfId="0" applyFont="1" applyFill="1" applyAlignment="1" applyProtection="1">
      <alignment horizontal="center" vertical="center"/>
      <protection locked="0"/>
    </xf>
    <xf numFmtId="188" fontId="89" fillId="8" borderId="0" xfId="0" applyNumberFormat="1" applyFont="1" applyFill="1" applyAlignment="1" applyProtection="1">
      <alignment horizontal="center" vertical="center"/>
      <protection locked="0"/>
    </xf>
    <xf numFmtId="182" fontId="89" fillId="8" borderId="0" xfId="0" applyNumberFormat="1" applyFont="1" applyFill="1" applyAlignment="1" applyProtection="1">
      <alignment horizontal="center" vertical="center"/>
      <protection locked="0"/>
    </xf>
    <xf numFmtId="0" fontId="109" fillId="5"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188" fontId="89" fillId="0" borderId="0" xfId="0" applyNumberFormat="1" applyFont="1" applyFill="1" applyAlignment="1" applyProtection="1">
      <alignment horizontal="center" vertical="center"/>
      <protection locked="0"/>
    </xf>
    <xf numFmtId="182" fontId="89" fillId="0" borderId="0" xfId="0" applyNumberFormat="1" applyFont="1" applyFill="1" applyAlignment="1" applyProtection="1">
      <alignment horizontal="center" vertical="center"/>
      <protection locked="0"/>
    </xf>
    <xf numFmtId="0" fontId="102" fillId="5" borderId="28" xfId="2" applyFont="1" applyFill="1" applyBorder="1" applyAlignment="1" applyProtection="1">
      <alignment vertical="center"/>
      <protection locked="0"/>
    </xf>
    <xf numFmtId="0" fontId="100" fillId="8" borderId="0" xfId="0" applyFont="1" applyFill="1" applyAlignment="1" applyProtection="1">
      <alignment vertical="center"/>
      <protection locked="0"/>
    </xf>
    <xf numFmtId="0" fontId="100" fillId="0" borderId="0" xfId="0" applyFont="1" applyFill="1" applyAlignment="1" applyProtection="1">
      <alignment vertical="center"/>
      <protection locked="0"/>
    </xf>
    <xf numFmtId="0" fontId="91" fillId="3" borderId="0" xfId="0" applyFont="1" applyFill="1" applyAlignment="1" applyProtection="1">
      <alignment horizontal="left" vertical="center"/>
      <protection locked="0"/>
    </xf>
    <xf numFmtId="0" fontId="91" fillId="3" borderId="0" xfId="0" applyFont="1" applyFill="1" applyAlignment="1" applyProtection="1">
      <alignment vertical="center"/>
      <protection locked="0"/>
    </xf>
    <xf numFmtId="0" fontId="91" fillId="3" borderId="0" xfId="0" applyFont="1" applyFill="1" applyAlignment="1" applyProtection="1">
      <alignment horizontal="center" vertical="center"/>
      <protection locked="0"/>
    </xf>
    <xf numFmtId="0" fontId="91" fillId="8" borderId="0" xfId="0" applyFont="1" applyFill="1" applyAlignment="1" applyProtection="1">
      <alignment vertical="center"/>
      <protection locked="0"/>
    </xf>
    <xf numFmtId="0" fontId="45" fillId="5" borderId="0" xfId="3" applyFont="1" applyFill="1" applyAlignment="1" applyProtection="1">
      <alignment vertical="center" wrapText="1"/>
      <protection locked="0"/>
    </xf>
    <xf numFmtId="0" fontId="45" fillId="5" borderId="0" xfId="3" applyFont="1" applyFill="1" applyAlignment="1" applyProtection="1">
      <alignment horizontal="center" vertical="center" wrapText="1"/>
      <protection locked="0"/>
    </xf>
    <xf numFmtId="0" fontId="63" fillId="5" borderId="0" xfId="3" applyFont="1" applyFill="1" applyAlignment="1" applyProtection="1">
      <alignment horizontal="center" vertical="center" wrapText="1"/>
      <protection locked="0"/>
    </xf>
    <xf numFmtId="0" fontId="91" fillId="5" borderId="0" xfId="3" applyFont="1" applyFill="1" applyAlignment="1" applyProtection="1">
      <alignment vertical="center" wrapText="1"/>
      <protection locked="0"/>
    </xf>
    <xf numFmtId="0" fontId="91" fillId="5" borderId="0" xfId="3" applyFont="1" applyFill="1" applyAlignment="1" applyProtection="1">
      <alignment horizontal="center" vertical="center" wrapText="1"/>
      <protection locked="0"/>
    </xf>
    <xf numFmtId="10" fontId="91" fillId="5" borderId="0" xfId="3" applyNumberFormat="1" applyFont="1" applyFill="1" applyAlignment="1" applyProtection="1">
      <alignment horizontal="center" vertical="center" wrapText="1"/>
      <protection locked="0"/>
    </xf>
    <xf numFmtId="0" fontId="89" fillId="5" borderId="0" xfId="3" applyFont="1" applyFill="1" applyAlignment="1" applyProtection="1">
      <alignment vertical="center" wrapText="1"/>
      <protection locked="0"/>
    </xf>
    <xf numFmtId="0" fontId="45" fillId="8" borderId="0" xfId="3" applyFont="1" applyFill="1" applyAlignment="1" applyProtection="1">
      <alignment vertical="center" wrapText="1"/>
      <protection locked="0"/>
    </xf>
    <xf numFmtId="0" fontId="45" fillId="8" borderId="0" xfId="3" applyFont="1" applyFill="1" applyAlignment="1" applyProtection="1">
      <alignment horizontal="center" vertical="center" wrapText="1"/>
      <protection locked="0"/>
    </xf>
    <xf numFmtId="0" fontId="45" fillId="8" borderId="0" xfId="3" applyFont="1" applyFill="1" applyAlignment="1" applyProtection="1">
      <alignment horizontal="left" vertical="center" wrapText="1"/>
      <protection locked="0"/>
    </xf>
    <xf numFmtId="0" fontId="45" fillId="0" borderId="0" xfId="3" applyFont="1" applyAlignment="1" applyProtection="1">
      <alignment vertical="center" wrapText="1"/>
      <protection locked="0"/>
    </xf>
    <xf numFmtId="0" fontId="45" fillId="0" borderId="0" xfId="3" applyFont="1" applyAlignment="1" applyProtection="1">
      <alignment horizontal="center" vertical="center" wrapText="1"/>
      <protection locked="0"/>
    </xf>
    <xf numFmtId="0" fontId="78"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0" fontId="89" fillId="5" borderId="0" xfId="0" applyFont="1" applyFill="1" applyBorder="1" applyAlignment="1" applyProtection="1">
      <alignment horizontal="center" vertical="center" wrapText="1"/>
      <protection locked="0"/>
    </xf>
    <xf numFmtId="9" fontId="89" fillId="5" borderId="0" xfId="0" applyNumberFormat="1" applyFont="1" applyFill="1" applyBorder="1" applyAlignment="1" applyProtection="1">
      <alignment horizontal="center" vertical="center" wrapText="1"/>
      <protection locked="0"/>
    </xf>
    <xf numFmtId="0" fontId="106" fillId="5" borderId="13" xfId="0" applyFont="1" applyFill="1" applyBorder="1" applyAlignment="1" applyProtection="1">
      <alignment horizontal="center" vertical="center"/>
    </xf>
    <xf numFmtId="0" fontId="89" fillId="5" borderId="13" xfId="0" applyFont="1" applyFill="1" applyBorder="1" applyAlignment="1" applyProtection="1">
      <alignment horizontal="center" vertical="center"/>
      <protection locked="0"/>
    </xf>
    <xf numFmtId="0" fontId="110" fillId="5" borderId="13" xfId="0" applyFont="1" applyFill="1" applyBorder="1" applyAlignment="1" applyProtection="1">
      <alignment horizontal="center" vertical="center"/>
      <protection locked="0"/>
    </xf>
    <xf numFmtId="0" fontId="89" fillId="5" borderId="13" xfId="0" applyFont="1" applyFill="1" applyBorder="1" applyAlignment="1" applyProtection="1">
      <protection locked="0"/>
    </xf>
    <xf numFmtId="49" fontId="76" fillId="5" borderId="13" xfId="0" applyNumberFormat="1" applyFont="1" applyFill="1" applyBorder="1" applyAlignment="1" applyProtection="1">
      <alignment horizontal="center" vertical="center"/>
      <protection locked="0"/>
    </xf>
    <xf numFmtId="9" fontId="76" fillId="5" borderId="13" xfId="0" applyNumberFormat="1" applyFont="1" applyFill="1" applyBorder="1" applyAlignment="1" applyProtection="1">
      <alignment horizontal="center" vertical="center" wrapText="1"/>
      <protection locked="0"/>
    </xf>
    <xf numFmtId="0" fontId="154" fillId="5" borderId="13" xfId="0" applyFont="1" applyFill="1" applyBorder="1" applyAlignment="1" applyProtection="1">
      <alignment vertical="center"/>
      <protection locked="0"/>
    </xf>
    <xf numFmtId="0" fontId="76" fillId="5" borderId="13" xfId="0" applyFont="1" applyFill="1" applyBorder="1" applyAlignment="1" applyProtection="1">
      <alignment horizontal="center" vertical="center" wrapText="1"/>
      <protection locked="0"/>
    </xf>
    <xf numFmtId="0" fontId="85" fillId="5" borderId="13" xfId="0" applyFont="1" applyFill="1" applyBorder="1" applyAlignment="1" applyProtection="1">
      <alignment horizontal="center" vertical="center" wrapText="1"/>
      <protection locked="0"/>
    </xf>
    <xf numFmtId="0" fontId="85" fillId="5" borderId="13" xfId="0" applyFont="1" applyFill="1" applyBorder="1" applyAlignment="1" applyProtection="1">
      <alignment horizontal="center" vertical="center"/>
      <protection locked="0"/>
    </xf>
    <xf numFmtId="0" fontId="85" fillId="5" borderId="13" xfId="0" applyFont="1" applyFill="1" applyBorder="1" applyAlignment="1" applyProtection="1">
      <alignment vertical="center" wrapText="1"/>
      <protection locked="0"/>
    </xf>
    <xf numFmtId="0" fontId="76" fillId="5" borderId="13" xfId="0" applyFont="1" applyFill="1" applyBorder="1" applyAlignment="1" applyProtection="1">
      <alignment vertical="center" wrapText="1"/>
      <protection locked="0"/>
    </xf>
    <xf numFmtId="0" fontId="89" fillId="5" borderId="13" xfId="0"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protection locked="0"/>
    </xf>
    <xf numFmtId="0" fontId="89" fillId="0" borderId="13" xfId="0" applyFont="1" applyFill="1" applyBorder="1" applyAlignment="1" applyProtection="1">
      <alignment horizontal="center" vertical="center"/>
    </xf>
    <xf numFmtId="0" fontId="89" fillId="5" borderId="0" xfId="0" applyFont="1" applyFill="1" applyBorder="1" applyAlignment="1" applyProtection="1">
      <alignment horizontal="center"/>
      <protection locked="0"/>
    </xf>
    <xf numFmtId="188" fontId="89" fillId="5" borderId="0" xfId="0" applyNumberFormat="1" applyFont="1" applyFill="1" applyBorder="1" applyAlignment="1" applyProtection="1">
      <alignment horizontal="center"/>
      <protection locked="0"/>
    </xf>
    <xf numFmtId="182" fontId="89" fillId="5" borderId="0" xfId="0" applyNumberFormat="1" applyFont="1" applyFill="1" applyBorder="1" applyAlignment="1" applyProtection="1">
      <protection locked="0"/>
    </xf>
    <xf numFmtId="0" fontId="81" fillId="5" borderId="0" xfId="0" applyNumberFormat="1" applyFont="1" applyFill="1" applyAlignment="1" applyProtection="1">
      <alignment horizontal="center" vertical="center"/>
      <protection locked="0"/>
    </xf>
    <xf numFmtId="0" fontId="81" fillId="0" borderId="0" xfId="0" applyNumberFormat="1" applyFont="1" applyAlignment="1" applyProtection="1">
      <alignment horizontal="center" vertical="center"/>
      <protection locked="0"/>
    </xf>
    <xf numFmtId="0" fontId="149" fillId="5" borderId="28" xfId="0" applyFont="1" applyFill="1" applyBorder="1" applyAlignment="1" applyProtection="1">
      <alignment horizontal="center" vertical="center" wrapText="1"/>
      <protection locked="0"/>
    </xf>
    <xf numFmtId="0" fontId="114" fillId="5" borderId="2" xfId="0" applyFont="1" applyFill="1" applyBorder="1" applyAlignment="1" applyProtection="1">
      <alignment horizontal="center" vertical="center"/>
      <protection locked="0"/>
    </xf>
    <xf numFmtId="9" fontId="114" fillId="6" borderId="2" xfId="0" applyNumberFormat="1" applyFont="1" applyFill="1" applyBorder="1" applyAlignment="1" applyProtection="1">
      <alignment horizontal="center" vertical="center"/>
      <protection locked="0"/>
    </xf>
    <xf numFmtId="0" fontId="212" fillId="8" borderId="0" xfId="0" applyFont="1" applyFill="1" applyAlignment="1" applyProtection="1">
      <protection locked="0"/>
    </xf>
    <xf numFmtId="0" fontId="54" fillId="5" borderId="2" xfId="0" applyFont="1" applyFill="1" applyBorder="1" applyAlignment="1" applyProtection="1">
      <alignment horizontal="left" vertical="center"/>
    </xf>
    <xf numFmtId="0" fontId="50" fillId="5" borderId="10" xfId="0" applyFont="1" applyFill="1" applyBorder="1" applyAlignment="1" applyProtection="1">
      <alignment vertical="center" wrapText="1"/>
    </xf>
    <xf numFmtId="0" fontId="76" fillId="0" borderId="12" xfId="2" applyNumberFormat="1" applyFont="1" applyFill="1" applyBorder="1" applyAlignment="1" applyProtection="1">
      <alignment horizontal="center" vertical="center"/>
      <protection locked="0"/>
    </xf>
    <xf numFmtId="0" fontId="81" fillId="5" borderId="44" xfId="0" applyFont="1" applyFill="1" applyBorder="1" applyAlignment="1" applyProtection="1">
      <alignment horizontal="center" vertical="center"/>
    </xf>
    <xf numFmtId="0" fontId="100" fillId="5" borderId="4" xfId="0" applyNumberFormat="1" applyFont="1" applyFill="1" applyBorder="1" applyAlignment="1" applyProtection="1">
      <alignment vertical="center" wrapText="1"/>
      <protection locked="0"/>
    </xf>
    <xf numFmtId="0" fontId="81" fillId="5" borderId="57" xfId="0" applyNumberFormat="1" applyFont="1" applyFill="1" applyBorder="1" applyAlignment="1" applyProtection="1">
      <alignment horizontal="center" vertical="center" wrapText="1"/>
    </xf>
    <xf numFmtId="0" fontId="91" fillId="8" borderId="0" xfId="0" applyFont="1" applyFill="1" applyAlignment="1" applyProtection="1">
      <alignment horizontal="center" vertical="center"/>
      <protection locked="0"/>
    </xf>
    <xf numFmtId="0" fontId="122" fillId="5" borderId="13" xfId="0" applyNumberFormat="1" applyFont="1" applyFill="1" applyBorder="1" applyAlignment="1" applyProtection="1">
      <alignment vertical="center" textRotation="255" wrapText="1"/>
      <protection locked="0"/>
    </xf>
    <xf numFmtId="0" fontId="84" fillId="0" borderId="5" xfId="0" applyNumberFormat="1" applyFont="1" applyFill="1" applyBorder="1" applyAlignment="1" applyProtection="1">
      <alignment horizontal="center"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4" fillId="8" borderId="0" xfId="0" applyFont="1" applyFill="1" applyAlignment="1" applyProtection="1">
      <alignment horizontal="center" vertical="center"/>
      <protection locked="0"/>
    </xf>
    <xf numFmtId="0" fontId="122" fillId="5" borderId="13" xfId="0" applyNumberFormat="1" applyFont="1" applyFill="1" applyBorder="1" applyAlignment="1" applyProtection="1">
      <alignment vertical="center" wrapText="1"/>
      <protection locked="0"/>
    </xf>
    <xf numFmtId="0" fontId="81" fillId="5" borderId="31" xfId="0" applyNumberFormat="1" applyFont="1" applyFill="1" applyBorder="1" applyAlignment="1" applyProtection="1">
      <alignment horizontal="center" vertical="center" wrapText="1"/>
    </xf>
    <xf numFmtId="0" fontId="81" fillId="0" borderId="22" xfId="0" applyNumberFormat="1" applyFont="1" applyFill="1" applyBorder="1" applyAlignment="1" applyProtection="1">
      <alignment horizontal="center" vertical="center" wrapText="1"/>
      <protection locked="0"/>
    </xf>
    <xf numFmtId="0" fontId="91" fillId="0" borderId="10" xfId="0" applyNumberFormat="1" applyFont="1" applyFill="1" applyBorder="1" applyAlignment="1" applyProtection="1">
      <alignment horizontal="center" vertical="center" wrapText="1"/>
      <protection locked="0"/>
    </xf>
    <xf numFmtId="0" fontId="9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91" fillId="0" borderId="15" xfId="0" applyNumberFormat="1" applyFont="1" applyFill="1" applyBorder="1" applyAlignment="1" applyProtection="1">
      <alignment horizontal="center" vertical="center" wrapText="1"/>
      <protection locked="0"/>
    </xf>
    <xf numFmtId="0" fontId="91" fillId="5" borderId="65" xfId="0" applyNumberFormat="1" applyFont="1" applyFill="1" applyBorder="1" applyAlignment="1" applyProtection="1">
      <alignment horizontal="center" vertical="center" wrapText="1"/>
    </xf>
    <xf numFmtId="0" fontId="90" fillId="5" borderId="13" xfId="0" applyNumberFormat="1" applyFont="1" applyFill="1" applyBorder="1" applyAlignment="1" applyProtection="1">
      <alignment vertical="center" wrapText="1"/>
      <protection locked="0"/>
    </xf>
    <xf numFmtId="0" fontId="81" fillId="0" borderId="106" xfId="0" applyNumberFormat="1" applyFont="1" applyFill="1" applyBorder="1" applyAlignment="1" applyProtection="1">
      <alignment horizontal="center" vertical="center" wrapText="1"/>
      <protection locked="0"/>
    </xf>
    <xf numFmtId="0" fontId="81" fillId="0" borderId="107" xfId="0" applyNumberFormat="1" applyFont="1" applyFill="1" applyBorder="1" applyAlignment="1" applyProtection="1">
      <alignment horizontal="center" vertical="center" wrapText="1"/>
      <protection locked="0"/>
    </xf>
    <xf numFmtId="0" fontId="81" fillId="0" borderId="107" xfId="0" applyNumberFormat="1" applyFont="1" applyFill="1" applyBorder="1" applyAlignment="1" applyProtection="1">
      <alignment horizontal="left" vertical="center" wrapText="1"/>
      <protection locked="0"/>
    </xf>
    <xf numFmtId="0" fontId="81" fillId="0" borderId="108" xfId="0" applyNumberFormat="1" applyFont="1" applyFill="1" applyBorder="1" applyAlignment="1" applyProtection="1">
      <alignment horizontal="center" vertical="center" wrapText="1"/>
      <protection locked="0"/>
    </xf>
    <xf numFmtId="0" fontId="81" fillId="0" borderId="109" xfId="0" applyNumberFormat="1" applyFont="1" applyFill="1" applyBorder="1" applyAlignment="1" applyProtection="1">
      <alignment horizontal="center" vertical="center" wrapText="1"/>
      <protection locked="0"/>
    </xf>
    <xf numFmtId="0" fontId="81" fillId="0" borderId="110" xfId="0" applyNumberFormat="1" applyFont="1" applyFill="1" applyBorder="1" applyAlignment="1" applyProtection="1">
      <alignment horizontal="center" vertical="center" wrapText="1"/>
      <protection locked="0"/>
    </xf>
    <xf numFmtId="0" fontId="81" fillId="8" borderId="0" xfId="0" applyFont="1" applyFill="1" applyAlignment="1" applyProtection="1">
      <alignment horizontal="center" vertical="center"/>
      <protection locked="0"/>
    </xf>
    <xf numFmtId="0" fontId="81" fillId="0" borderId="17" xfId="0" applyNumberFormat="1"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3" xfId="0" applyNumberFormat="1" applyFont="1" applyFill="1" applyBorder="1" applyAlignment="1" applyProtection="1">
      <alignment horizontal="center" vertical="center" wrapText="1"/>
      <protection locked="0"/>
    </xf>
    <xf numFmtId="0" fontId="81" fillId="0" borderId="3" xfId="0" applyFont="1" applyFill="1" applyBorder="1" applyAlignment="1" applyProtection="1">
      <alignment horizontal="center" vertical="center" wrapText="1"/>
      <protection locked="0"/>
    </xf>
    <xf numFmtId="9" fontId="81" fillId="0" borderId="3" xfId="0" applyNumberFormat="1" applyFont="1" applyFill="1" applyBorder="1" applyAlignment="1" applyProtection="1">
      <alignment horizontal="center" vertical="center" wrapText="1"/>
      <protection locked="0"/>
    </xf>
    <xf numFmtId="0" fontId="81" fillId="0" borderId="3" xfId="0" applyFont="1" applyFill="1" applyBorder="1" applyAlignment="1" applyProtection="1">
      <alignment horizontal="center" vertical="center"/>
      <protection locked="0"/>
    </xf>
    <xf numFmtId="0" fontId="81" fillId="0" borderId="65" xfId="0" applyFont="1" applyFill="1" applyBorder="1" applyAlignment="1" applyProtection="1">
      <alignment horizontal="center" vertical="center"/>
      <protection locked="0"/>
    </xf>
    <xf numFmtId="0" fontId="81" fillId="5" borderId="22" xfId="0" applyNumberFormat="1" applyFont="1" applyFill="1" applyBorder="1" applyAlignment="1" applyProtection="1">
      <alignment horizontal="center" vertical="center" wrapText="1"/>
    </xf>
    <xf numFmtId="0" fontId="91" fillId="5" borderId="10" xfId="0" applyNumberFormat="1" applyFont="1" applyFill="1" applyBorder="1" applyAlignment="1" applyProtection="1">
      <alignment horizontal="center" vertical="center" wrapText="1"/>
    </xf>
    <xf numFmtId="0" fontId="81" fillId="0" borderId="113" xfId="0" applyFont="1" applyFill="1" applyBorder="1" applyAlignment="1" applyProtection="1">
      <alignment horizontal="center" vertical="center"/>
      <protection locked="0"/>
    </xf>
    <xf numFmtId="0" fontId="81" fillId="0" borderId="114" xfId="0" applyNumberFormat="1" applyFont="1" applyFill="1" applyBorder="1" applyAlignment="1" applyProtection="1">
      <alignment horizontal="center" vertical="center" wrapText="1"/>
      <protection locked="0"/>
    </xf>
    <xf numFmtId="0" fontId="81" fillId="0" borderId="114" xfId="0" applyFont="1" applyFill="1" applyBorder="1" applyAlignment="1" applyProtection="1">
      <alignment horizontal="center" vertical="center" wrapText="1"/>
      <protection locked="0"/>
    </xf>
    <xf numFmtId="9" fontId="81" fillId="0" borderId="114" xfId="0" applyNumberFormat="1" applyFont="1" applyFill="1" applyBorder="1" applyAlignment="1" applyProtection="1">
      <alignment horizontal="center" vertical="center" wrapText="1"/>
      <protection locked="0"/>
    </xf>
    <xf numFmtId="0" fontId="81" fillId="0" borderId="114" xfId="0" applyFont="1" applyFill="1" applyBorder="1" applyAlignment="1" applyProtection="1">
      <alignment horizontal="center" vertical="center"/>
      <protection locked="0"/>
    </xf>
    <xf numFmtId="0" fontId="81" fillId="0" borderId="110" xfId="0" applyFont="1" applyFill="1" applyBorder="1" applyAlignment="1" applyProtection="1">
      <alignment horizontal="center" vertical="center"/>
      <protection locked="0"/>
    </xf>
    <xf numFmtId="0" fontId="81" fillId="5" borderId="110" xfId="0" applyNumberFormat="1" applyFont="1" applyFill="1" applyBorder="1" applyAlignment="1" applyProtection="1">
      <alignment horizontal="center" vertical="center" wrapText="1"/>
    </xf>
    <xf numFmtId="0" fontId="91" fillId="0" borderId="111" xfId="0" applyNumberFormat="1" applyFont="1" applyFill="1" applyBorder="1" applyAlignment="1" applyProtection="1">
      <alignment horizontal="center" vertical="center" wrapText="1"/>
      <protection locked="0"/>
    </xf>
    <xf numFmtId="0" fontId="91" fillId="0" borderId="112" xfId="0" applyNumberFormat="1" applyFont="1" applyFill="1" applyBorder="1" applyAlignment="1" applyProtection="1">
      <alignment horizontal="center" vertical="center" wrapText="1"/>
      <protection locked="0"/>
    </xf>
    <xf numFmtId="0" fontId="139" fillId="5" borderId="115" xfId="0" applyNumberFormat="1" applyFont="1" applyFill="1" applyBorder="1" applyAlignment="1" applyProtection="1">
      <alignment horizontal="center" vertical="center" wrapText="1"/>
    </xf>
    <xf numFmtId="0" fontId="16" fillId="10" borderId="26" xfId="0" applyNumberFormat="1" applyFont="1" applyFill="1" applyBorder="1" applyAlignment="1" applyProtection="1">
      <alignment horizontal="center" vertical="center" wrapText="1"/>
    </xf>
    <xf numFmtId="0" fontId="81" fillId="10" borderId="1"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left" vertical="center" wrapText="1"/>
      <protection locked="0"/>
    </xf>
    <xf numFmtId="0" fontId="81" fillId="10" borderId="29" xfId="0" applyNumberFormat="1" applyFont="1" applyFill="1" applyBorder="1" applyAlignment="1" applyProtection="1">
      <alignment horizontal="center" vertical="center" wrapText="1"/>
      <protection locked="0"/>
    </xf>
    <xf numFmtId="0" fontId="81" fillId="10" borderId="40" xfId="0" applyFont="1" applyFill="1" applyBorder="1" applyAlignment="1" applyProtection="1">
      <alignment horizontal="center" vertical="center"/>
      <protection locked="0"/>
    </xf>
    <xf numFmtId="0" fontId="81" fillId="10" borderId="27" xfId="0" applyNumberFormat="1" applyFont="1" applyFill="1" applyBorder="1" applyAlignment="1" applyProtection="1">
      <alignment horizontal="center" vertical="center" wrapText="1"/>
      <protection locked="0"/>
    </xf>
    <xf numFmtId="0" fontId="81" fillId="10" borderId="27" xfId="0" applyFont="1" applyFill="1" applyBorder="1" applyAlignment="1" applyProtection="1">
      <alignment horizontal="center" vertical="center" wrapText="1"/>
      <protection locked="0"/>
    </xf>
    <xf numFmtId="9" fontId="81" fillId="10" borderId="27" xfId="0" applyNumberFormat="1" applyFont="1" applyFill="1" applyBorder="1" applyAlignment="1" applyProtection="1">
      <alignment horizontal="center" vertical="center" wrapText="1"/>
      <protection locked="0"/>
    </xf>
    <xf numFmtId="0" fontId="81" fillId="10" borderId="27" xfId="0" applyFont="1" applyFill="1" applyBorder="1" applyAlignment="1" applyProtection="1">
      <alignment horizontal="center" vertical="center"/>
      <protection locked="0"/>
    </xf>
    <xf numFmtId="0" fontId="81" fillId="10" borderId="39" xfId="0" applyFont="1" applyFill="1" applyBorder="1" applyAlignment="1" applyProtection="1">
      <alignment horizontal="center" vertical="center"/>
      <protection locked="0"/>
    </xf>
    <xf numFmtId="0" fontId="90" fillId="10" borderId="116" xfId="0" applyNumberFormat="1" applyFont="1" applyFill="1" applyBorder="1" applyAlignment="1" applyProtection="1">
      <alignment vertical="center" wrapText="1"/>
      <protection locked="0"/>
    </xf>
    <xf numFmtId="0" fontId="81" fillId="10" borderId="54" xfId="0" applyNumberFormat="1" applyFont="1" applyFill="1" applyBorder="1" applyAlignment="1" applyProtection="1">
      <alignment horizontal="center" vertical="center" wrapText="1"/>
    </xf>
    <xf numFmtId="0" fontId="81" fillId="10" borderId="43" xfId="0" applyNumberFormat="1" applyFont="1" applyFill="1" applyBorder="1" applyAlignment="1" applyProtection="1">
      <alignment horizontal="center" vertical="center" wrapText="1"/>
      <protection locked="0"/>
    </xf>
    <xf numFmtId="0" fontId="91" fillId="10" borderId="44" xfId="0" applyNumberFormat="1" applyFont="1" applyFill="1" applyBorder="1" applyAlignment="1" applyProtection="1">
      <alignment horizontal="center" vertical="center" wrapText="1"/>
      <protection locked="0"/>
    </xf>
    <xf numFmtId="0" fontId="91" fillId="10" borderId="45" xfId="0" applyNumberFormat="1" applyFont="1" applyFill="1" applyBorder="1" applyAlignment="1" applyProtection="1">
      <alignment horizontal="center" vertical="center" wrapText="1"/>
      <protection locked="0"/>
    </xf>
    <xf numFmtId="0" fontId="91" fillId="10" borderId="48"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0" fontId="57" fillId="5" borderId="28" xfId="0" applyFont="1" applyFill="1" applyBorder="1" applyAlignment="1" applyProtection="1">
      <alignment vertical="center"/>
    </xf>
    <xf numFmtId="0" fontId="86" fillId="5" borderId="5" xfId="0" applyFont="1" applyFill="1" applyBorder="1" applyProtection="1">
      <alignment vertical="center"/>
    </xf>
    <xf numFmtId="0" fontId="86" fillId="5" borderId="2" xfId="0" applyFont="1" applyFill="1" applyBorder="1" applyProtection="1">
      <alignment vertical="center"/>
    </xf>
    <xf numFmtId="177" fontId="76" fillId="5" borderId="2" xfId="0" applyNumberFormat="1" applyFont="1" applyFill="1" applyBorder="1" applyProtection="1">
      <alignment vertical="center"/>
    </xf>
    <xf numFmtId="178" fontId="135" fillId="5" borderId="11" xfId="2" applyNumberFormat="1" applyFont="1" applyFill="1" applyBorder="1" applyAlignment="1" applyProtection="1">
      <alignment horizontal="left" vertical="center"/>
    </xf>
    <xf numFmtId="178" fontId="76" fillId="5" borderId="11" xfId="2" applyNumberFormat="1" applyFont="1" applyFill="1" applyBorder="1" applyAlignment="1" applyProtection="1">
      <alignment horizontal="left" vertical="center" wrapText="1"/>
    </xf>
    <xf numFmtId="0" fontId="22" fillId="5" borderId="1" xfId="2" applyFont="1" applyFill="1" applyBorder="1" applyAlignment="1" applyProtection="1">
      <alignment vertical="center" wrapText="1"/>
    </xf>
    <xf numFmtId="0" fontId="76" fillId="5" borderId="2" xfId="0" applyFont="1" applyFill="1" applyBorder="1" applyAlignment="1" applyProtection="1">
      <alignment horizontal="right" vertical="center" wrapText="1"/>
    </xf>
    <xf numFmtId="178" fontId="76" fillId="5" borderId="2" xfId="2" applyNumberFormat="1" applyFont="1" applyFill="1" applyBorder="1" applyAlignment="1" applyProtection="1">
      <alignment vertical="center"/>
    </xf>
    <xf numFmtId="178" fontId="76" fillId="5" borderId="5" xfId="2" applyNumberFormat="1" applyFont="1" applyFill="1" applyBorder="1" applyAlignment="1" applyProtection="1">
      <alignment vertical="center"/>
    </xf>
    <xf numFmtId="178" fontId="76" fillId="5" borderId="11" xfId="2" applyNumberFormat="1" applyFont="1" applyFill="1" applyBorder="1" applyAlignment="1" applyProtection="1">
      <alignment horizontal="center" vertical="center"/>
    </xf>
    <xf numFmtId="184" fontId="76" fillId="5" borderId="2" xfId="0" applyNumberFormat="1" applyFont="1" applyFill="1" applyBorder="1" applyAlignment="1" applyProtection="1">
      <alignment horizontal="center" vertical="center"/>
    </xf>
    <xf numFmtId="182" fontId="85" fillId="5" borderId="2" xfId="0" applyNumberFormat="1" applyFont="1" applyFill="1" applyBorder="1" applyAlignment="1" applyProtection="1">
      <alignment horizontal="center" vertical="center"/>
    </xf>
    <xf numFmtId="180" fontId="76" fillId="5" borderId="43" xfId="2" applyNumberFormat="1" applyFont="1" applyFill="1" applyBorder="1" applyAlignment="1" applyProtection="1">
      <alignment horizontal="center" vertical="center"/>
    </xf>
    <xf numFmtId="178" fontId="86" fillId="5" borderId="11" xfId="2" applyNumberFormat="1" applyFont="1" applyFill="1" applyBorder="1" applyAlignment="1" applyProtection="1">
      <alignment horizontal="left" vertical="center" wrapText="1"/>
    </xf>
    <xf numFmtId="0" fontId="57" fillId="5" borderId="9" xfId="0" applyFont="1" applyFill="1" applyBorder="1" applyAlignment="1" applyProtection="1">
      <alignment horizontal="left" vertical="center"/>
    </xf>
    <xf numFmtId="0" fontId="54" fillId="5" borderId="5" xfId="0" applyFont="1" applyFill="1" applyBorder="1" applyAlignment="1" applyProtection="1">
      <alignment horizontal="left" vertical="center"/>
    </xf>
    <xf numFmtId="0" fontId="87" fillId="5" borderId="9" xfId="0"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0" fontId="76" fillId="0" borderId="12" xfId="2" applyNumberFormat="1" applyFont="1" applyFill="1" applyBorder="1" applyAlignment="1" applyProtection="1">
      <alignment horizontal="center" vertical="center"/>
    </xf>
    <xf numFmtId="9" fontId="76" fillId="5" borderId="5" xfId="0"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82" fontId="76" fillId="5" borderId="2" xfId="0" applyNumberFormat="1" applyFont="1" applyFill="1" applyBorder="1" applyAlignment="1" applyProtection="1">
      <alignment vertical="center"/>
    </xf>
    <xf numFmtId="182" fontId="76" fillId="5" borderId="5" xfId="0" applyNumberFormat="1" applyFont="1" applyFill="1" applyBorder="1" applyAlignment="1" applyProtection="1">
      <alignment vertical="center"/>
    </xf>
    <xf numFmtId="182" fontId="76" fillId="5" borderId="12" xfId="0" applyNumberFormat="1" applyFont="1" applyFill="1" applyBorder="1" applyAlignment="1" applyProtection="1">
      <alignment vertical="center"/>
    </xf>
    <xf numFmtId="182" fontId="76" fillId="5" borderId="2" xfId="0" applyNumberFormat="1" applyFont="1" applyFill="1" applyBorder="1" applyAlignment="1" applyProtection="1">
      <alignment horizontal="center" vertical="center"/>
    </xf>
    <xf numFmtId="182" fontId="76" fillId="5" borderId="5" xfId="0" applyNumberFormat="1" applyFont="1" applyFill="1" applyBorder="1" applyAlignment="1" applyProtection="1">
      <alignment horizontal="center" vertical="center"/>
    </xf>
    <xf numFmtId="10" fontId="76" fillId="5" borderId="2" xfId="0" applyNumberFormat="1" applyFont="1" applyFill="1" applyBorder="1" applyAlignment="1" applyProtection="1">
      <alignment horizontal="center" vertical="center"/>
    </xf>
    <xf numFmtId="183" fontId="76" fillId="5" borderId="2"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87" fillId="5" borderId="18" xfId="0" applyFont="1" applyFill="1" applyBorder="1" applyAlignment="1" applyProtection="1">
      <alignment horizontal="center" vertical="center"/>
    </xf>
    <xf numFmtId="0" fontId="81" fillId="5" borderId="20" xfId="0" applyFont="1" applyFill="1" applyBorder="1" applyAlignment="1" applyProtection="1">
      <alignment horizontal="left" vertical="center"/>
      <protection locked="0"/>
    </xf>
    <xf numFmtId="0" fontId="138" fillId="5" borderId="47" xfId="0" applyFont="1" applyFill="1" applyBorder="1" applyAlignment="1" applyProtection="1">
      <alignment vertical="center"/>
    </xf>
    <xf numFmtId="0" fontId="57" fillId="5" borderId="2" xfId="0" applyFont="1" applyFill="1" applyBorder="1" applyAlignment="1" applyProtection="1">
      <alignment vertical="center"/>
    </xf>
    <xf numFmtId="0" fontId="45" fillId="5" borderId="11" xfId="2" applyFont="1" applyFill="1" applyBorder="1" applyAlignment="1" applyProtection="1"/>
    <xf numFmtId="0" fontId="214" fillId="5" borderId="9" xfId="0" applyFont="1" applyFill="1" applyBorder="1" applyAlignment="1" applyProtection="1">
      <alignment horizontal="right" vertical="center"/>
    </xf>
    <xf numFmtId="0" fontId="215" fillId="5" borderId="5" xfId="0" applyFont="1" applyFill="1" applyBorder="1" applyAlignment="1" applyProtection="1">
      <alignment horizontal="left" vertical="center"/>
    </xf>
    <xf numFmtId="0" fontId="216" fillId="5" borderId="9" xfId="0" applyFont="1" applyFill="1" applyBorder="1" applyAlignment="1" applyProtection="1">
      <alignment horizontal="right" vertical="center"/>
    </xf>
    <xf numFmtId="0" fontId="87" fillId="5" borderId="9" xfId="0" applyFont="1" applyFill="1" applyBorder="1" applyAlignment="1" applyProtection="1">
      <alignment horizontal="right" vertical="center"/>
    </xf>
    <xf numFmtId="178" fontId="57" fillId="5" borderId="2" xfId="2" applyNumberFormat="1" applyFont="1" applyFill="1" applyBorder="1" applyAlignment="1" applyProtection="1">
      <alignment vertical="center"/>
    </xf>
    <xf numFmtId="14" fontId="80" fillId="5" borderId="34" xfId="0" applyNumberFormat="1" applyFont="1" applyFill="1" applyBorder="1" applyAlignment="1" applyProtection="1">
      <alignment horizontal="center" vertical="center"/>
    </xf>
    <xf numFmtId="0" fontId="157" fillId="5" borderId="2" xfId="0" applyFont="1" applyFill="1" applyBorder="1" applyAlignment="1" applyProtection="1">
      <alignment horizontal="left" vertical="center" wrapText="1"/>
      <protection locked="0"/>
    </xf>
    <xf numFmtId="0" fontId="87" fillId="5" borderId="2" xfId="0" applyFont="1" applyFill="1" applyBorder="1" applyAlignment="1" applyProtection="1">
      <alignment horizontal="center" vertical="center" wrapText="1"/>
    </xf>
    <xf numFmtId="177" fontId="81" fillId="0" borderId="2" xfId="0" applyNumberFormat="1" applyFont="1" applyFill="1" applyBorder="1" applyAlignment="1" applyProtection="1">
      <alignment horizontal="center" vertical="center" wrapText="1"/>
      <protection locked="0"/>
    </xf>
    <xf numFmtId="0" fontId="86" fillId="5" borderId="21" xfId="0" applyFont="1" applyFill="1" applyBorder="1" applyProtection="1">
      <alignment vertical="center"/>
    </xf>
    <xf numFmtId="0" fontId="86" fillId="5" borderId="0" xfId="0" applyFont="1" applyFill="1" applyAlignment="1" applyProtection="1">
      <alignment vertical="center"/>
      <protection locked="0"/>
    </xf>
    <xf numFmtId="0" fontId="157" fillId="5" borderId="0" xfId="0" applyFont="1" applyFill="1" applyAlignment="1" applyProtection="1">
      <alignment vertical="center"/>
      <protection locked="0"/>
    </xf>
    <xf numFmtId="0" fontId="154" fillId="5" borderId="0" xfId="0" applyFont="1" applyFill="1" applyAlignment="1" applyProtection="1">
      <alignment horizontal="center" vertical="center"/>
      <protection locked="0"/>
    </xf>
    <xf numFmtId="0" fontId="154" fillId="5" borderId="0" xfId="0" applyFont="1" applyFill="1" applyAlignment="1" applyProtection="1">
      <alignment horizontal="left" vertical="center"/>
      <protection locked="0"/>
    </xf>
    <xf numFmtId="0" fontId="154" fillId="0" borderId="2" xfId="0" applyNumberFormat="1" applyFont="1" applyFill="1" applyBorder="1" applyAlignment="1" applyProtection="1">
      <alignment horizontal="center" vertical="center" wrapText="1"/>
      <protection locked="0"/>
    </xf>
    <xf numFmtId="0" fontId="154" fillId="0" borderId="2" xfId="0" applyNumberFormat="1" applyFont="1" applyFill="1" applyBorder="1" applyAlignment="1" applyProtection="1">
      <alignment horizontal="left" vertical="center" wrapText="1"/>
      <protection locked="0"/>
    </xf>
    <xf numFmtId="0" fontId="154"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90" fillId="0" borderId="12" xfId="0" applyNumberFormat="1" applyFont="1" applyFill="1" applyBorder="1" applyAlignment="1" applyProtection="1">
      <alignment horizontal="center" vertical="center"/>
      <protection locked="0"/>
    </xf>
    <xf numFmtId="49" fontId="90" fillId="5" borderId="53" xfId="0" applyNumberFormat="1" applyFont="1" applyFill="1" applyBorder="1" applyAlignment="1" applyProtection="1">
      <alignment vertical="center"/>
    </xf>
    <xf numFmtId="0" fontId="90" fillId="5" borderId="27" xfId="0" applyFont="1" applyFill="1" applyBorder="1" applyAlignment="1" applyProtection="1">
      <alignment vertical="center" wrapText="1"/>
    </xf>
    <xf numFmtId="0" fontId="90" fillId="5" borderId="27" xfId="0" applyFont="1" applyFill="1" applyBorder="1" applyAlignment="1" applyProtection="1">
      <alignment horizontal="center" vertical="center"/>
    </xf>
    <xf numFmtId="0" fontId="81" fillId="5" borderId="27" xfId="0" applyFont="1" applyFill="1" applyBorder="1" applyAlignment="1" applyProtection="1">
      <alignment vertical="center"/>
    </xf>
    <xf numFmtId="0" fontId="54" fillId="5" borderId="6" xfId="0" applyFont="1" applyFill="1" applyBorder="1" applyAlignment="1" applyProtection="1">
      <alignment horizontal="left" vertical="center"/>
    </xf>
    <xf numFmtId="0" fontId="90"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11" fillId="8" borderId="37" xfId="0" applyFont="1" applyFill="1" applyBorder="1" applyAlignment="1" applyProtection="1">
      <alignment vertical="center"/>
      <protection locked="0"/>
    </xf>
    <xf numFmtId="0" fontId="111" fillId="8" borderId="38" xfId="0" applyFont="1" applyFill="1" applyBorder="1" applyAlignment="1" applyProtection="1">
      <alignment horizontal="left" vertical="center"/>
      <protection locked="0"/>
    </xf>
    <xf numFmtId="0" fontId="137" fillId="6" borderId="7" xfId="0" applyFont="1" applyFill="1" applyBorder="1" applyAlignment="1" applyProtection="1">
      <alignment horizontal="center" vertical="center"/>
      <protection locked="0"/>
    </xf>
    <xf numFmtId="0" fontId="153" fillId="6" borderId="12" xfId="0" applyFont="1" applyFill="1" applyBorder="1" applyAlignment="1" applyProtection="1">
      <alignment horizontal="center"/>
      <protection locked="0"/>
    </xf>
    <xf numFmtId="0" fontId="111" fillId="8" borderId="12" xfId="0" applyFont="1" applyFill="1" applyBorder="1" applyAlignment="1" applyProtection="1">
      <alignment horizontal="center" vertical="center"/>
      <protection locked="0"/>
    </xf>
    <xf numFmtId="0" fontId="111" fillId="0" borderId="12" xfId="0" applyFont="1" applyFill="1" applyBorder="1" applyAlignment="1" applyProtection="1">
      <alignment horizontal="center" vertical="center"/>
      <protection locked="0"/>
    </xf>
    <xf numFmtId="10" fontId="111" fillId="0" borderId="46" xfId="0" applyNumberFormat="1" applyFont="1" applyFill="1" applyBorder="1" applyAlignment="1" applyProtection="1">
      <alignment horizontal="center" vertical="center"/>
      <protection locked="0"/>
    </xf>
    <xf numFmtId="0" fontId="111" fillId="6" borderId="57" xfId="0" applyFont="1" applyFill="1" applyBorder="1" applyAlignment="1" applyProtection="1">
      <alignment horizontal="center" vertical="center"/>
      <protection locked="0"/>
    </xf>
    <xf numFmtId="49" fontId="37" fillId="5" borderId="0" xfId="0" applyNumberFormat="1" applyFont="1" applyFill="1" applyBorder="1" applyAlignment="1" applyProtection="1">
      <alignment horizontal="center"/>
    </xf>
    <xf numFmtId="0" fontId="111" fillId="5" borderId="0" xfId="0" applyNumberFormat="1" applyFont="1" applyFill="1" applyBorder="1" applyAlignment="1" applyProtection="1">
      <alignment horizontal="center"/>
    </xf>
    <xf numFmtId="182" fontId="76" fillId="0" borderId="5" xfId="0" applyNumberFormat="1" applyFont="1" applyBorder="1" applyAlignment="1" applyProtection="1">
      <alignment horizontal="center" vertical="center"/>
      <protection locked="0"/>
    </xf>
    <xf numFmtId="0" fontId="22" fillId="5" borderId="2" xfId="0" applyFont="1" applyFill="1" applyBorder="1" applyAlignment="1" applyProtection="1">
      <alignment horizontal="center" vertical="center" wrapText="1"/>
      <protection locked="0"/>
    </xf>
    <xf numFmtId="0" fontId="76" fillId="6" borderId="2" xfId="0" applyFont="1" applyFill="1" applyBorder="1" applyAlignment="1" applyProtection="1">
      <alignment vertical="center"/>
      <protection locked="0"/>
    </xf>
    <xf numFmtId="0" fontId="103" fillId="8" borderId="0" xfId="0" applyFont="1" applyFill="1" applyAlignment="1" applyProtection="1">
      <alignment horizontal="center" vertical="center"/>
      <protection locked="0"/>
    </xf>
    <xf numFmtId="0" fontId="121"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53" fillId="5" borderId="82" xfId="0" applyFont="1" applyFill="1" applyBorder="1" applyAlignment="1" applyProtection="1">
      <alignment vertical="center" wrapText="1"/>
    </xf>
    <xf numFmtId="0" fontId="153" fillId="5" borderId="38" xfId="0" applyFont="1" applyFill="1" applyBorder="1" applyAlignment="1" applyProtection="1">
      <alignment vertical="center"/>
    </xf>
    <xf numFmtId="0" fontId="153" fillId="5" borderId="38" xfId="0" applyFont="1" applyFill="1" applyBorder="1" applyAlignment="1" applyProtection="1">
      <alignment horizontal="center" vertical="center" wrapText="1"/>
    </xf>
    <xf numFmtId="0" fontId="181" fillId="5" borderId="80" xfId="0" applyFont="1" applyFill="1" applyBorder="1" applyAlignment="1" applyProtection="1">
      <alignment vertical="center" wrapText="1"/>
    </xf>
    <xf numFmtId="0" fontId="153" fillId="5" borderId="66" xfId="0" applyFont="1" applyFill="1" applyBorder="1" applyAlignment="1" applyProtection="1">
      <alignment vertical="center"/>
    </xf>
    <xf numFmtId="0" fontId="181" fillId="5" borderId="66" xfId="0" applyFont="1" applyFill="1" applyBorder="1" applyAlignment="1" applyProtection="1">
      <alignment horizontal="center" vertical="center" wrapText="1"/>
    </xf>
    <xf numFmtId="0" fontId="181" fillId="5" borderId="80" xfId="0" applyFont="1" applyFill="1" applyBorder="1" applyAlignment="1" applyProtection="1">
      <alignment horizontal="right" vertical="center" wrapText="1"/>
    </xf>
    <xf numFmtId="10" fontId="181" fillId="5" borderId="66" xfId="0" applyNumberFormat="1" applyFont="1" applyFill="1" applyBorder="1" applyAlignment="1" applyProtection="1">
      <alignment horizontal="center" vertical="center" wrapText="1"/>
    </xf>
    <xf numFmtId="0" fontId="181" fillId="5" borderId="66" xfId="0" applyFont="1" applyFill="1" applyBorder="1" applyAlignment="1" applyProtection="1">
      <alignment vertical="center"/>
    </xf>
    <xf numFmtId="0" fontId="177" fillId="5" borderId="0" xfId="0" applyFont="1" applyFill="1" applyAlignment="1" applyProtection="1">
      <alignment vertical="center"/>
    </xf>
    <xf numFmtId="193" fontId="181"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9" fillId="5" borderId="2" xfId="3" applyNumberFormat="1" applyFont="1" applyFill="1" applyBorder="1" applyAlignment="1" applyProtection="1">
      <alignment horizontal="center" vertical="center" wrapText="1"/>
    </xf>
    <xf numFmtId="0" fontId="169" fillId="5" borderId="10" xfId="3" applyNumberFormat="1" applyFont="1" applyFill="1" applyBorder="1" applyAlignment="1" applyProtection="1">
      <alignment horizontal="center" vertical="center" wrapText="1"/>
    </xf>
    <xf numFmtId="0" fontId="169" fillId="5" borderId="44" xfId="3" applyNumberFormat="1" applyFont="1" applyFill="1" applyBorder="1" applyAlignment="1" applyProtection="1">
      <alignment horizontal="center" vertical="center" wrapText="1"/>
    </xf>
    <xf numFmtId="49" fontId="169" fillId="5" borderId="2" xfId="3" applyNumberFormat="1" applyFont="1" applyFill="1" applyBorder="1" applyAlignment="1" applyProtection="1">
      <alignment horizontal="center" vertical="center" wrapText="1"/>
    </xf>
    <xf numFmtId="49" fontId="169" fillId="5" borderId="55" xfId="3" applyNumberFormat="1" applyFont="1" applyFill="1" applyBorder="1" applyAlignment="1" applyProtection="1">
      <alignment horizontal="center" vertical="center" wrapText="1"/>
    </xf>
    <xf numFmtId="49" fontId="169" fillId="5" borderId="44" xfId="3" applyNumberFormat="1" applyFont="1" applyFill="1" applyBorder="1" applyAlignment="1" applyProtection="1">
      <alignment horizontal="center" vertical="center" wrapText="1"/>
    </xf>
    <xf numFmtId="0" fontId="215" fillId="5" borderId="2" xfId="0" applyFont="1" applyFill="1" applyBorder="1" applyAlignment="1" applyProtection="1">
      <alignment horizontal="center" vertical="center" wrapText="1"/>
    </xf>
    <xf numFmtId="10" fontId="154" fillId="0" borderId="2" xfId="3" applyNumberFormat="1" applyFont="1" applyBorder="1" applyAlignment="1" applyProtection="1">
      <alignment horizontal="center" vertical="center"/>
      <protection locked="0"/>
    </xf>
    <xf numFmtId="183" fontId="154" fillId="5" borderId="2" xfId="3" applyNumberFormat="1" applyFont="1" applyFill="1" applyBorder="1" applyAlignment="1" applyProtection="1">
      <alignment horizontal="center" vertical="center"/>
    </xf>
    <xf numFmtId="10" fontId="157" fillId="5" borderId="2" xfId="3" applyNumberFormat="1" applyFont="1" applyFill="1" applyBorder="1" applyAlignment="1" applyProtection="1">
      <alignment horizontal="center" vertical="center" wrapText="1"/>
    </xf>
    <xf numFmtId="10" fontId="154" fillId="0" borderId="2" xfId="0" applyNumberFormat="1" applyFont="1" applyBorder="1" applyAlignment="1" applyProtection="1">
      <alignment horizontal="center" vertical="center"/>
      <protection locked="0"/>
    </xf>
    <xf numFmtId="0" fontId="208" fillId="5" borderId="0" xfId="3" applyFont="1" applyFill="1" applyProtection="1">
      <alignment vertical="center"/>
    </xf>
    <xf numFmtId="0" fontId="150" fillId="5" borderId="0" xfId="3" applyNumberFormat="1" applyFill="1" applyAlignment="1" applyProtection="1">
      <alignment horizontal="center" vertical="center" wrapText="1"/>
    </xf>
    <xf numFmtId="0" fontId="164" fillId="5" borderId="0" xfId="3" applyFont="1" applyFill="1" applyProtection="1">
      <alignment vertical="center"/>
    </xf>
    <xf numFmtId="0" fontId="154" fillId="5" borderId="0" xfId="3" applyFont="1" applyFill="1" applyProtection="1">
      <alignment vertical="center"/>
    </xf>
    <xf numFmtId="0" fontId="154" fillId="5" borderId="0" xfId="3" applyFont="1" applyFill="1" applyAlignment="1" applyProtection="1">
      <alignment horizontal="center" vertical="center"/>
    </xf>
    <xf numFmtId="0" fontId="208" fillId="5" borderId="59" xfId="3" applyFont="1" applyFill="1" applyBorder="1" applyAlignment="1" applyProtection="1">
      <alignment vertical="center"/>
    </xf>
    <xf numFmtId="0" fontId="151" fillId="5" borderId="28" xfId="3" applyNumberFormat="1" applyFont="1" applyFill="1" applyBorder="1" applyAlignment="1" applyProtection="1">
      <alignment horizontal="center" vertical="center" wrapText="1"/>
    </xf>
    <xf numFmtId="0" fontId="164" fillId="5" borderId="28" xfId="3" applyFont="1" applyFill="1" applyBorder="1" applyProtection="1">
      <alignment vertical="center"/>
    </xf>
    <xf numFmtId="0" fontId="209" fillId="5" borderId="30" xfId="3" applyFont="1" applyFill="1" applyBorder="1" applyAlignment="1" applyProtection="1">
      <alignment vertical="center"/>
    </xf>
    <xf numFmtId="0" fontId="209" fillId="5" borderId="57" xfId="3" applyFont="1" applyFill="1" applyBorder="1" applyAlignment="1" applyProtection="1">
      <alignment horizontal="center" vertical="center"/>
    </xf>
    <xf numFmtId="0" fontId="208" fillId="5" borderId="0" xfId="3" applyFont="1" applyFill="1" applyBorder="1" applyAlignment="1" applyProtection="1">
      <alignment vertical="center"/>
    </xf>
    <xf numFmtId="0" fontId="168" fillId="5" borderId="2" xfId="3" applyFont="1" applyFill="1" applyBorder="1" applyAlignment="1" applyProtection="1">
      <alignment horizontal="center" vertical="center" wrapText="1"/>
    </xf>
    <xf numFmtId="0" fontId="157" fillId="5" borderId="2" xfId="3" applyFont="1" applyFill="1" applyBorder="1" applyAlignment="1" applyProtection="1">
      <alignment horizontal="center" vertical="center" wrapText="1"/>
    </xf>
    <xf numFmtId="0" fontId="91" fillId="5" borderId="12" xfId="3" applyFont="1" applyFill="1" applyBorder="1" applyAlignment="1" applyProtection="1">
      <alignment horizontal="center" vertical="center" wrapText="1"/>
    </xf>
    <xf numFmtId="0" fontId="215" fillId="5" borderId="13" xfId="0" applyFont="1" applyFill="1" applyBorder="1" applyAlignment="1" applyProtection="1">
      <alignment horizontal="center" vertical="center" wrapText="1"/>
    </xf>
    <xf numFmtId="0" fontId="76" fillId="5" borderId="2" xfId="3" applyNumberFormat="1" applyFont="1" applyFill="1" applyBorder="1" applyAlignment="1" applyProtection="1">
      <alignment horizontal="center" vertical="center" wrapText="1"/>
    </xf>
    <xf numFmtId="9" fontId="157" fillId="5" borderId="2" xfId="3" applyNumberFormat="1" applyFont="1" applyFill="1" applyBorder="1" applyAlignment="1" applyProtection="1">
      <alignment horizontal="center" vertical="center" wrapText="1"/>
    </xf>
    <xf numFmtId="10" fontId="91" fillId="5" borderId="25" xfId="3" applyNumberFormat="1" applyFont="1" applyFill="1" applyBorder="1" applyAlignment="1" applyProtection="1">
      <alignment horizontal="center" vertical="center" wrapText="1"/>
    </xf>
    <xf numFmtId="10" fontId="132" fillId="5" borderId="0" xfId="3" applyNumberFormat="1" applyFont="1" applyFill="1" applyBorder="1" applyAlignment="1" applyProtection="1">
      <alignment horizontal="center" vertical="center" wrapText="1"/>
    </xf>
    <xf numFmtId="10" fontId="89" fillId="5" borderId="2" xfId="3" applyNumberFormat="1" applyFont="1" applyFill="1" applyBorder="1" applyAlignment="1" applyProtection="1">
      <alignment horizontal="center" vertical="center" wrapText="1"/>
    </xf>
    <xf numFmtId="10" fontId="91" fillId="5" borderId="52" xfId="3" applyNumberFormat="1" applyFont="1" applyFill="1" applyBorder="1" applyAlignment="1" applyProtection="1">
      <alignment vertical="center" wrapText="1"/>
    </xf>
    <xf numFmtId="0" fontId="169" fillId="5" borderId="64" xfId="3" applyFont="1" applyFill="1" applyBorder="1" applyAlignment="1" applyProtection="1">
      <alignment horizontal="center" vertical="center" wrapText="1"/>
    </xf>
    <xf numFmtId="0" fontId="169" fillId="5" borderId="43" xfId="3" applyFont="1" applyFill="1" applyBorder="1" applyAlignment="1" applyProtection="1">
      <alignment horizontal="center" vertical="center" wrapText="1"/>
    </xf>
    <xf numFmtId="9" fontId="157" fillId="5" borderId="44" xfId="3" applyNumberFormat="1" applyFont="1" applyFill="1" applyBorder="1" applyAlignment="1" applyProtection="1">
      <alignment horizontal="center" vertical="center" wrapText="1"/>
    </xf>
    <xf numFmtId="10" fontId="91" fillId="5" borderId="69" xfId="3" applyNumberFormat="1" applyFont="1" applyFill="1" applyBorder="1" applyAlignment="1" applyProtection="1">
      <alignment vertical="center" wrapText="1"/>
    </xf>
    <xf numFmtId="0" fontId="210" fillId="5" borderId="30" xfId="3" applyFont="1" applyFill="1" applyBorder="1" applyAlignment="1" applyProtection="1">
      <alignment vertical="center"/>
    </xf>
    <xf numFmtId="10" fontId="91" fillId="5" borderId="52" xfId="3" applyNumberFormat="1" applyFont="1" applyFill="1" applyBorder="1" applyAlignment="1" applyProtection="1">
      <alignment horizontal="center" vertical="center" wrapText="1"/>
    </xf>
    <xf numFmtId="10" fontId="132" fillId="5" borderId="0" xfId="3" applyNumberFormat="1" applyFont="1" applyFill="1" applyBorder="1" applyAlignment="1" applyProtection="1">
      <alignment vertical="center" wrapText="1"/>
    </xf>
    <xf numFmtId="10" fontId="91" fillId="5" borderId="69" xfId="3" applyNumberFormat="1" applyFont="1" applyFill="1" applyBorder="1" applyAlignment="1" applyProtection="1">
      <alignment horizontal="center" vertical="center" wrapText="1"/>
    </xf>
    <xf numFmtId="0" fontId="169" fillId="5" borderId="0" xfId="3" applyFont="1" applyFill="1" applyAlignment="1" applyProtection="1">
      <alignment horizontal="left" vertical="center"/>
    </xf>
    <xf numFmtId="0" fontId="169" fillId="5" borderId="2" xfId="3" applyFont="1" applyFill="1" applyBorder="1" applyAlignment="1" applyProtection="1">
      <alignment horizontal="center" vertical="center"/>
    </xf>
    <xf numFmtId="0" fontId="174" fillId="5" borderId="0" xfId="3" applyFont="1" applyFill="1" applyAlignment="1" applyProtection="1">
      <alignment horizontal="center" vertical="center"/>
    </xf>
    <xf numFmtId="180" fontId="163" fillId="5" borderId="3" xfId="5" applyNumberFormat="1" applyFont="1" applyFill="1" applyBorder="1" applyAlignment="1" applyProtection="1">
      <alignment horizontal="center" vertical="center" wrapText="1"/>
    </xf>
    <xf numFmtId="0" fontId="45" fillId="0" borderId="2" xfId="3" applyFont="1" applyFill="1" applyBorder="1" applyAlignment="1" applyProtection="1">
      <alignment vertical="center" wrapText="1"/>
      <protection locked="0"/>
    </xf>
    <xf numFmtId="0" fontId="102" fillId="5" borderId="2" xfId="3" applyFont="1" applyFill="1" applyBorder="1" applyAlignment="1" applyProtection="1">
      <alignment horizontal="right" vertical="center" wrapText="1"/>
    </xf>
    <xf numFmtId="0" fontId="83" fillId="5" borderId="13" xfId="0" applyNumberFormat="1" applyFont="1" applyFill="1" applyBorder="1" applyAlignment="1" applyProtection="1">
      <alignment horizontal="left" vertical="center"/>
    </xf>
    <xf numFmtId="0" fontId="83" fillId="5" borderId="2" xfId="0" applyNumberFormat="1" applyFont="1" applyFill="1" applyBorder="1" applyAlignment="1" applyProtection="1">
      <alignment horizontal="center" vertical="center" wrapText="1"/>
    </xf>
    <xf numFmtId="0" fontId="83" fillId="5" borderId="0" xfId="0" applyFont="1" applyFill="1" applyBorder="1" applyAlignment="1" applyProtection="1">
      <alignment vertical="center"/>
    </xf>
    <xf numFmtId="0" fontId="83" fillId="5" borderId="13" xfId="0" applyFont="1" applyFill="1" applyBorder="1" applyAlignment="1" applyProtection="1">
      <alignment vertical="center" wrapText="1"/>
    </xf>
    <xf numFmtId="0" fontId="183" fillId="0" borderId="5" xfId="0" applyFont="1" applyFill="1" applyBorder="1" applyAlignment="1" applyProtection="1">
      <alignment horizontal="center" vertical="center" wrapText="1"/>
      <protection locked="0"/>
    </xf>
    <xf numFmtId="0" fontId="183" fillId="0" borderId="8" xfId="0" applyFont="1" applyFill="1" applyBorder="1" applyAlignment="1" applyProtection="1">
      <alignment horizontal="center" vertical="center" wrapText="1"/>
      <protection locked="0"/>
    </xf>
    <xf numFmtId="0" fontId="183" fillId="0" borderId="9" xfId="0" applyFont="1" applyFill="1" applyBorder="1" applyAlignment="1" applyProtection="1">
      <alignment horizontal="center" vertical="center" wrapText="1"/>
      <protection locked="0"/>
    </xf>
    <xf numFmtId="10" fontId="154" fillId="5" borderId="2" xfId="3" applyNumberFormat="1" applyFont="1" applyFill="1" applyBorder="1" applyAlignment="1" applyProtection="1">
      <alignment horizontal="center" vertical="center"/>
    </xf>
    <xf numFmtId="10" fontId="154" fillId="5" borderId="2" xfId="0" applyNumberFormat="1" applyFont="1" applyFill="1" applyBorder="1" applyAlignment="1" applyProtection="1">
      <alignment horizontal="center" vertical="center"/>
    </xf>
    <xf numFmtId="0" fontId="176" fillId="5" borderId="31" xfId="0" applyFont="1" applyFill="1" applyBorder="1" applyAlignment="1" applyProtection="1">
      <alignment horizontal="left" vertical="center"/>
    </xf>
    <xf numFmtId="0" fontId="81" fillId="5" borderId="8" xfId="0" applyFont="1" applyFill="1" applyBorder="1" applyProtection="1">
      <alignment vertical="center"/>
      <protection locked="0"/>
    </xf>
    <xf numFmtId="0" fontId="81" fillId="5" borderId="16" xfId="0" applyFont="1" applyFill="1" applyBorder="1" applyProtection="1">
      <alignment vertical="center"/>
      <protection locked="0"/>
    </xf>
    <xf numFmtId="0" fontId="81" fillId="5" borderId="0" xfId="0" applyFont="1" applyFill="1" applyBorder="1" applyProtection="1">
      <alignment vertical="center"/>
      <protection locked="0"/>
    </xf>
    <xf numFmtId="0" fontId="81" fillId="5" borderId="65" xfId="0" applyFont="1" applyFill="1" applyBorder="1" applyProtection="1">
      <alignment vertical="center"/>
      <protection locked="0"/>
    </xf>
    <xf numFmtId="0" fontId="74" fillId="5" borderId="64" xfId="0" applyFont="1" applyFill="1" applyBorder="1" applyProtection="1">
      <alignment vertical="center"/>
      <protection locked="0"/>
    </xf>
    <xf numFmtId="49" fontId="100" fillId="5" borderId="11" xfId="2" applyNumberFormat="1" applyFont="1" applyFill="1" applyBorder="1" applyAlignment="1" applyProtection="1">
      <alignment horizontal="left" vertical="center"/>
    </xf>
    <xf numFmtId="49" fontId="100" fillId="5" borderId="11" xfId="0" applyNumberFormat="1" applyFont="1" applyFill="1" applyBorder="1" applyAlignment="1" applyProtection="1">
      <alignment horizontal="left" vertical="center"/>
    </xf>
    <xf numFmtId="49" fontId="100" fillId="5" borderId="43" xfId="2" applyNumberFormat="1" applyFont="1" applyFill="1" applyBorder="1" applyAlignment="1" applyProtection="1">
      <alignment horizontal="left" vertical="center"/>
    </xf>
    <xf numFmtId="0" fontId="65" fillId="5" borderId="5" xfId="2" applyFont="1" applyFill="1" applyBorder="1" applyAlignment="1" applyProtection="1">
      <alignment vertical="center"/>
    </xf>
    <xf numFmtId="178" fontId="100" fillId="0" borderId="2" xfId="2" applyNumberFormat="1" applyFont="1" applyFill="1" applyBorder="1" applyAlignment="1" applyProtection="1">
      <alignment horizontal="center" vertical="center"/>
      <protection locked="0"/>
    </xf>
    <xf numFmtId="10" fontId="91"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32" fillId="5" borderId="12" xfId="2" applyFont="1" applyFill="1" applyBorder="1" applyAlignment="1" applyProtection="1">
      <alignment vertical="center" wrapText="1"/>
    </xf>
    <xf numFmtId="0" fontId="132" fillId="5" borderId="12" xfId="2" applyFont="1" applyFill="1" applyBorder="1" applyAlignment="1" applyProtection="1">
      <alignment horizontal="left" vertical="center"/>
    </xf>
    <xf numFmtId="0" fontId="47" fillId="6" borderId="12" xfId="2" applyFont="1" applyFill="1" applyBorder="1" applyAlignment="1" applyProtection="1">
      <alignment vertical="center"/>
      <protection locked="0"/>
    </xf>
    <xf numFmtId="10" fontId="81"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61" fillId="5" borderId="64" xfId="0" applyFont="1" applyFill="1" applyBorder="1" applyAlignment="1" applyProtection="1">
      <alignment vertical="center"/>
    </xf>
    <xf numFmtId="0" fontId="53" fillId="5" borderId="45" xfId="0" applyFont="1" applyFill="1" applyBorder="1" applyAlignment="1" applyProtection="1"/>
    <xf numFmtId="0" fontId="81" fillId="5" borderId="2" xfId="0" applyFont="1" applyFill="1" applyBorder="1" applyAlignment="1" applyProtection="1">
      <alignment horizontal="left" vertical="center" wrapText="1"/>
    </xf>
    <xf numFmtId="0" fontId="81" fillId="5" borderId="5" xfId="0" applyFont="1" applyFill="1" applyBorder="1" applyAlignment="1" applyProtection="1">
      <alignment horizontal="left" vertical="center" wrapText="1"/>
    </xf>
    <xf numFmtId="0" fontId="81" fillId="5" borderId="19" xfId="0" applyFont="1" applyFill="1" applyBorder="1" applyAlignment="1" applyProtection="1">
      <alignment horizontal="center" vertical="center"/>
    </xf>
    <xf numFmtId="0" fontId="81" fillId="5" borderId="19" xfId="0" applyFont="1" applyFill="1" applyBorder="1" applyAlignment="1" applyProtection="1">
      <alignment horizontal="center" vertical="center"/>
    </xf>
    <xf numFmtId="0" fontId="22" fillId="5" borderId="22" xfId="0" applyFont="1" applyFill="1" applyBorder="1" applyAlignment="1" applyProtection="1">
      <alignment vertical="center" wrapText="1"/>
    </xf>
    <xf numFmtId="49" fontId="81" fillId="5" borderId="24" xfId="0" applyNumberFormat="1" applyFont="1" applyFill="1" applyBorder="1" applyAlignment="1" applyProtection="1">
      <alignment horizontal="center" vertical="center"/>
    </xf>
    <xf numFmtId="0" fontId="81" fillId="5" borderId="17" xfId="0" applyFont="1" applyFill="1" applyBorder="1" applyAlignment="1" applyProtection="1">
      <alignment horizontal="right" vertical="center"/>
    </xf>
    <xf numFmtId="0" fontId="81" fillId="5" borderId="63" xfId="0" applyFont="1" applyFill="1" applyBorder="1" applyAlignment="1" applyProtection="1">
      <alignment horizontal="center" vertical="center"/>
    </xf>
    <xf numFmtId="182" fontId="90" fillId="5" borderId="15" xfId="0" applyNumberFormat="1" applyFont="1" applyFill="1" applyBorder="1" applyAlignment="1" applyProtection="1">
      <alignment horizontal="center" vertical="center"/>
    </xf>
    <xf numFmtId="49" fontId="81" fillId="5" borderId="18" xfId="0" applyNumberFormat="1" applyFont="1" applyFill="1" applyBorder="1" applyAlignment="1" applyProtection="1">
      <alignment horizontal="left" vertical="center"/>
    </xf>
    <xf numFmtId="0" fontId="16"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31" fillId="5" borderId="10" xfId="0" applyFont="1" applyFill="1" applyBorder="1" applyAlignment="1" applyProtection="1">
      <alignment vertical="center"/>
    </xf>
    <xf numFmtId="0" fontId="16" fillId="5" borderId="10" xfId="0" applyFont="1" applyFill="1" applyBorder="1" applyAlignment="1" applyProtection="1">
      <alignment vertical="center"/>
    </xf>
    <xf numFmtId="0" fontId="16" fillId="5" borderId="10" xfId="0" applyFont="1" applyFill="1" applyBorder="1" applyAlignment="1" applyProtection="1">
      <alignment horizontal="left" vertical="center"/>
    </xf>
    <xf numFmtId="0" fontId="90" fillId="5" borderId="2" xfId="0" applyFont="1" applyFill="1" applyBorder="1" applyAlignment="1" applyProtection="1">
      <alignment horizontal="center" vertical="center"/>
      <protection locked="0"/>
    </xf>
    <xf numFmtId="49" fontId="81" fillId="5" borderId="3" xfId="0" applyNumberFormat="1" applyFont="1" applyFill="1" applyBorder="1" applyAlignment="1" applyProtection="1">
      <alignment horizontal="left" vertical="center"/>
    </xf>
    <xf numFmtId="0" fontId="16" fillId="5" borderId="32" xfId="0" applyFont="1" applyFill="1" applyBorder="1" applyAlignment="1" applyProtection="1">
      <alignment vertical="center"/>
    </xf>
    <xf numFmtId="49" fontId="90" fillId="5" borderId="22" xfId="0" applyNumberFormat="1" applyFont="1" applyFill="1" applyBorder="1" applyAlignment="1" applyProtection="1">
      <alignment horizontal="left" vertical="center"/>
    </xf>
    <xf numFmtId="49" fontId="90" fillId="5" borderId="24" xfId="0" applyNumberFormat="1" applyFont="1" applyFill="1" applyBorder="1" applyAlignment="1" applyProtection="1">
      <alignment horizontal="left" vertical="center"/>
    </xf>
    <xf numFmtId="49" fontId="81" fillId="5" borderId="22" xfId="0" applyNumberFormat="1" applyFont="1" applyFill="1" applyBorder="1" applyAlignment="1" applyProtection="1">
      <alignment horizontal="center" vertical="center"/>
    </xf>
    <xf numFmtId="49" fontId="90" fillId="5" borderId="24"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right" vertical="center"/>
    </xf>
    <xf numFmtId="0" fontId="132" fillId="0" borderId="2" xfId="0" applyFont="1" applyFill="1" applyBorder="1" applyAlignment="1">
      <alignment horizontal="center" vertical="center"/>
    </xf>
    <xf numFmtId="178" fontId="132" fillId="0" borderId="12" xfId="0" applyNumberFormat="1" applyFont="1" applyFill="1" applyBorder="1" applyAlignment="1">
      <alignment horizontal="center" vertical="center"/>
    </xf>
    <xf numFmtId="0" fontId="205" fillId="0" borderId="2" xfId="0" applyFont="1" applyFill="1" applyBorder="1" applyAlignment="1">
      <alignment horizontal="center" vertical="center"/>
    </xf>
    <xf numFmtId="9" fontId="132" fillId="0" borderId="2" xfId="0" applyNumberFormat="1" applyFont="1" applyFill="1" applyBorder="1" applyAlignment="1">
      <alignment horizontal="center" vertical="center"/>
    </xf>
    <xf numFmtId="178" fontId="132" fillId="0" borderId="2" xfId="0" applyNumberFormat="1" applyFont="1" applyFill="1" applyBorder="1" applyAlignment="1">
      <alignment horizontal="center" vertical="center"/>
    </xf>
    <xf numFmtId="0" fontId="132"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7"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5" fillId="0" borderId="2" xfId="0" applyFont="1" applyFill="1" applyBorder="1" applyAlignment="1">
      <alignment horizontal="center" vertical="center" wrapText="1"/>
    </xf>
    <xf numFmtId="0" fontId="37" fillId="0" borderId="2" xfId="0" applyFont="1" applyFill="1" applyBorder="1" applyAlignment="1">
      <alignment vertical="center"/>
    </xf>
    <xf numFmtId="0" fontId="205"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5" fillId="0" borderId="2" xfId="0" applyFont="1" applyBorder="1" applyAlignment="1">
      <alignment horizontal="center" vertical="center"/>
    </xf>
    <xf numFmtId="9" fontId="205"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32" fillId="0" borderId="2" xfId="0" applyFont="1" applyBorder="1" applyAlignment="1">
      <alignment horizontal="center"/>
    </xf>
    <xf numFmtId="0" fontId="132" fillId="0" borderId="2" xfId="0" applyFont="1" applyBorder="1" applyAlignment="1"/>
    <xf numFmtId="49" fontId="132" fillId="0" borderId="2" xfId="0" applyNumberFormat="1" applyFont="1" applyBorder="1" applyAlignment="1">
      <alignment horizontal="center"/>
    </xf>
    <xf numFmtId="9" fontId="132" fillId="0" borderId="2" xfId="0" applyNumberFormat="1" applyFont="1" applyBorder="1" applyAlignment="1"/>
    <xf numFmtId="0" fontId="132" fillId="0" borderId="2" xfId="0" applyFont="1" applyFill="1" applyBorder="1" applyAlignment="1">
      <alignment horizontal="center"/>
    </xf>
    <xf numFmtId="182" fontId="81" fillId="5" borderId="5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vertical="center"/>
    </xf>
    <xf numFmtId="0" fontId="16" fillId="5" borderId="86" xfId="0" applyFont="1" applyFill="1" applyBorder="1" applyAlignment="1" applyProtection="1">
      <alignment vertical="center" wrapText="1"/>
    </xf>
    <xf numFmtId="0" fontId="90" fillId="0" borderId="71" xfId="0" applyFont="1" applyFill="1" applyBorder="1" applyAlignment="1" applyProtection="1">
      <alignment horizontal="center" vertical="center"/>
      <protection locked="0"/>
    </xf>
    <xf numFmtId="0" fontId="81" fillId="5" borderId="71" xfId="0" applyFont="1" applyFill="1" applyBorder="1" applyAlignment="1" applyProtection="1">
      <alignment vertical="center"/>
    </xf>
    <xf numFmtId="0" fontId="54" fillId="5" borderId="71" xfId="0" applyFont="1" applyFill="1" applyBorder="1" applyAlignment="1" applyProtection="1">
      <alignment horizontal="left" vertical="center"/>
    </xf>
    <xf numFmtId="182" fontId="90" fillId="5" borderId="72" xfId="0" applyNumberFormat="1" applyFont="1" applyFill="1" applyBorder="1" applyAlignment="1" applyProtection="1">
      <alignment horizontal="center" vertical="center"/>
    </xf>
    <xf numFmtId="49" fontId="87" fillId="5" borderId="117" xfId="0" applyNumberFormat="1" applyFont="1" applyFill="1" applyBorder="1" applyAlignment="1" applyProtection="1">
      <alignment horizontal="center" vertical="center"/>
    </xf>
    <xf numFmtId="0" fontId="81" fillId="5" borderId="71" xfId="0" applyFont="1" applyFill="1" applyBorder="1" applyAlignment="1" applyProtection="1">
      <alignment horizontal="center" vertical="center"/>
    </xf>
    <xf numFmtId="0" fontId="81" fillId="5" borderId="71" xfId="0" applyFont="1" applyFill="1" applyBorder="1" applyAlignment="1" applyProtection="1">
      <alignment horizontal="left" vertical="center" wrapText="1"/>
    </xf>
    <xf numFmtId="0" fontId="81"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0" fontId="81" fillId="5" borderId="17" xfId="0" applyFont="1" applyFill="1" applyBorder="1" applyAlignment="1" applyProtection="1">
      <alignment horizontal="left" vertical="center" wrapText="1"/>
    </xf>
    <xf numFmtId="0" fontId="81" fillId="5" borderId="19" xfId="0" applyFont="1" applyFill="1" applyBorder="1" applyAlignment="1" applyProtection="1">
      <alignment horizontal="center" vertical="center" wrapText="1"/>
    </xf>
    <xf numFmtId="0" fontId="81" fillId="5" borderId="63" xfId="0" applyFont="1" applyFill="1" applyBorder="1" applyAlignment="1" applyProtection="1">
      <alignment horizontal="center" vertical="center" wrapText="1"/>
    </xf>
    <xf numFmtId="49" fontId="81" fillId="5" borderId="117" xfId="0" applyNumberFormat="1" applyFont="1" applyFill="1" applyBorder="1" applyAlignment="1" applyProtection="1">
      <alignment horizontal="center" vertical="center"/>
    </xf>
    <xf numFmtId="0" fontId="104" fillId="5" borderId="19" xfId="0" applyFont="1" applyFill="1" applyBorder="1" applyAlignment="1" applyProtection="1">
      <alignment vertical="center"/>
    </xf>
    <xf numFmtId="0" fontId="104" fillId="5" borderId="63" xfId="0" applyFont="1" applyFill="1" applyBorder="1" applyAlignment="1" applyProtection="1">
      <alignment vertical="center"/>
    </xf>
    <xf numFmtId="182" fontId="90" fillId="5" borderId="90" xfId="0" applyNumberFormat="1" applyFont="1" applyFill="1" applyBorder="1" applyAlignment="1" applyProtection="1">
      <alignment horizontal="center" vertical="center"/>
    </xf>
    <xf numFmtId="182" fontId="90" fillId="5" borderId="71" xfId="0" applyNumberFormat="1" applyFont="1" applyFill="1" applyBorder="1" applyAlignment="1" applyProtection="1">
      <alignment horizontal="center" vertical="center"/>
    </xf>
    <xf numFmtId="0" fontId="81" fillId="5" borderId="84" xfId="0" applyFont="1" applyFill="1" applyBorder="1" applyAlignment="1" applyProtection="1">
      <alignment horizontal="left" vertical="center"/>
    </xf>
    <xf numFmtId="0" fontId="104" fillId="5" borderId="85" xfId="0" applyFont="1" applyFill="1" applyBorder="1" applyAlignment="1" applyProtection="1">
      <alignment vertical="center"/>
    </xf>
    <xf numFmtId="0" fontId="104" fillId="5" borderId="90" xfId="0" applyFont="1" applyFill="1" applyBorder="1" applyAlignment="1" applyProtection="1">
      <alignment vertical="center"/>
    </xf>
    <xf numFmtId="0" fontId="195" fillId="0" borderId="0" xfId="0" applyFont="1" applyAlignment="1" applyProtection="1">
      <alignment horizontal="left" vertical="top" wrapText="1"/>
    </xf>
    <xf numFmtId="49" fontId="81" fillId="5" borderId="117" xfId="0" applyNumberFormat="1" applyFont="1" applyFill="1" applyBorder="1" applyAlignment="1" applyProtection="1">
      <alignment horizontal="left" vertical="center"/>
    </xf>
    <xf numFmtId="49" fontId="81" fillId="5" borderId="81" xfId="0" applyNumberFormat="1" applyFont="1" applyFill="1" applyBorder="1" applyAlignment="1" applyProtection="1">
      <alignment horizontal="center" vertical="center"/>
    </xf>
    <xf numFmtId="49" fontId="90" fillId="5" borderId="87" xfId="0" applyNumberFormat="1" applyFont="1" applyFill="1" applyBorder="1" applyAlignment="1" applyProtection="1">
      <alignment horizontal="center" vertical="center"/>
    </xf>
    <xf numFmtId="0" fontId="81" fillId="5" borderId="0" xfId="0" applyFont="1" applyFill="1" applyBorder="1" applyAlignment="1" applyProtection="1">
      <alignment vertical="center"/>
    </xf>
    <xf numFmtId="0" fontId="16" fillId="5" borderId="118" xfId="0" applyFont="1" applyFill="1" applyBorder="1" applyAlignment="1" applyProtection="1">
      <alignment vertical="center" wrapText="1"/>
    </xf>
    <xf numFmtId="0" fontId="90" fillId="0" borderId="70" xfId="0" applyFont="1" applyFill="1" applyBorder="1" applyAlignment="1" applyProtection="1">
      <alignment horizontal="center" vertical="center"/>
      <protection locked="0"/>
    </xf>
    <xf numFmtId="0" fontId="16" fillId="5" borderId="10" xfId="0" applyFont="1" applyFill="1" applyBorder="1" applyAlignment="1" applyProtection="1">
      <alignment vertical="center" wrapText="1"/>
    </xf>
    <xf numFmtId="0" fontId="45" fillId="5" borderId="2" xfId="2" applyFont="1" applyFill="1" applyBorder="1" applyAlignment="1" applyProtection="1">
      <alignment horizontal="left"/>
    </xf>
    <xf numFmtId="0" fontId="53" fillId="5" borderId="26" xfId="0" applyNumberFormat="1" applyFont="1" applyFill="1" applyBorder="1" applyAlignment="1" applyProtection="1">
      <alignment vertical="center"/>
    </xf>
    <xf numFmtId="0" fontId="80" fillId="5" borderId="58" xfId="0" applyNumberFormat="1" applyFont="1" applyFill="1" applyBorder="1" applyAlignment="1" applyProtection="1">
      <alignment vertical="center"/>
    </xf>
    <xf numFmtId="0" fontId="63" fillId="5" borderId="0" xfId="0" applyFont="1" applyFill="1" applyAlignment="1" applyProtection="1">
      <alignment horizontal="center" vertical="center"/>
      <protection locked="0"/>
    </xf>
    <xf numFmtId="0" fontId="54" fillId="5" borderId="2" xfId="0" applyFont="1" applyFill="1" applyBorder="1" applyAlignment="1" applyProtection="1">
      <alignment vertical="center"/>
    </xf>
    <xf numFmtId="0" fontId="54" fillId="5" borderId="5" xfId="0" applyFont="1" applyFill="1" applyBorder="1" applyAlignment="1" applyProtection="1">
      <alignment vertical="center"/>
    </xf>
    <xf numFmtId="0" fontId="100" fillId="5" borderId="2" xfId="0" applyNumberFormat="1" applyFont="1" applyFill="1" applyBorder="1" applyAlignment="1" applyProtection="1">
      <alignment horizontal="center" vertical="center"/>
    </xf>
    <xf numFmtId="0" fontId="76" fillId="5" borderId="0" xfId="0" applyFont="1" applyFill="1" applyAlignment="1" applyProtection="1">
      <alignment horizontal="center"/>
    </xf>
    <xf numFmtId="0" fontId="76" fillId="5" borderId="2" xfId="0" applyFont="1" applyFill="1" applyBorder="1" applyAlignment="1" applyProtection="1">
      <alignment horizontal="center" vertical="center"/>
    </xf>
    <xf numFmtId="0" fontId="67" fillId="5" borderId="103" xfId="0" applyFont="1" applyFill="1" applyBorder="1" applyAlignment="1" applyProtection="1">
      <alignment horizontal="center" vertical="center"/>
    </xf>
    <xf numFmtId="0" fontId="67" fillId="5" borderId="0" xfId="0" applyFont="1" applyFill="1" applyBorder="1" applyAlignment="1" applyProtection="1">
      <alignment horizontal="center" vertical="center"/>
    </xf>
    <xf numFmtId="0" fontId="76" fillId="5" borderId="2" xfId="0" applyFont="1" applyFill="1" applyBorder="1" applyAlignment="1" applyProtection="1">
      <alignment horizontal="center" vertical="center" wrapText="1"/>
    </xf>
    <xf numFmtId="0" fontId="89" fillId="5" borderId="2" xfId="0" applyFont="1" applyFill="1" applyBorder="1" applyAlignment="1" applyProtection="1">
      <alignment horizontal="center" vertical="center" wrapText="1"/>
    </xf>
    <xf numFmtId="0" fontId="89" fillId="5" borderId="2" xfId="0" applyFont="1" applyFill="1" applyBorder="1" applyAlignment="1" applyProtection="1">
      <alignment horizontal="center" vertical="center"/>
    </xf>
    <xf numFmtId="0" fontId="89" fillId="5" borderId="3" xfId="0" applyFont="1" applyFill="1" applyBorder="1" applyAlignment="1" applyProtection="1">
      <alignment horizontal="center" vertical="center"/>
    </xf>
    <xf numFmtId="0" fontId="165" fillId="5" borderId="0" xfId="0" applyFont="1" applyFill="1" applyAlignment="1" applyProtection="1">
      <alignment horizontal="center" vertical="center" wrapText="1"/>
    </xf>
    <xf numFmtId="0" fontId="57" fillId="5" borderId="0" xfId="0" applyFont="1" applyFill="1" applyAlignment="1" applyProtection="1">
      <alignment horizontal="center" vertical="center" wrapText="1"/>
    </xf>
    <xf numFmtId="49" fontId="53" fillId="5" borderId="35" xfId="0" applyNumberFormat="1" applyFont="1" applyFill="1" applyBorder="1" applyAlignment="1" applyProtection="1">
      <alignment vertical="center" wrapText="1"/>
    </xf>
    <xf numFmtId="49" fontId="53" fillId="5" borderId="79" xfId="0" applyNumberFormat="1" applyFont="1" applyFill="1" applyBorder="1" applyAlignment="1" applyProtection="1">
      <alignment vertical="center" wrapText="1"/>
    </xf>
    <xf numFmtId="49" fontId="53" fillId="5" borderId="80" xfId="0" applyNumberFormat="1" applyFont="1" applyFill="1" applyBorder="1" applyAlignment="1" applyProtection="1">
      <alignment vertical="center" wrapText="1"/>
    </xf>
    <xf numFmtId="0" fontId="53" fillId="5" borderId="35" xfId="0" applyFont="1" applyFill="1" applyBorder="1" applyAlignment="1" applyProtection="1">
      <alignment vertical="center" wrapText="1"/>
    </xf>
    <xf numFmtId="0" fontId="53" fillId="5" borderId="79" xfId="0" applyFont="1" applyFill="1" applyBorder="1" applyAlignment="1" applyProtection="1">
      <alignment vertical="center" wrapText="1"/>
    </xf>
    <xf numFmtId="0" fontId="53" fillId="5" borderId="80" xfId="0" applyFont="1" applyFill="1" applyBorder="1" applyAlignment="1" applyProtection="1">
      <alignment vertical="center" wrapText="1"/>
    </xf>
    <xf numFmtId="0" fontId="85" fillId="5" borderId="52" xfId="0" applyNumberFormat="1" applyFont="1" applyFill="1" applyBorder="1" applyAlignment="1" applyProtection="1">
      <alignment horizontal="center" vertical="center" wrapText="1"/>
    </xf>
    <xf numFmtId="0" fontId="57" fillId="5" borderId="52" xfId="0" applyFont="1" applyFill="1" applyBorder="1" applyAlignment="1" applyProtection="1">
      <alignment horizontal="center" vertical="center" wrapText="1"/>
    </xf>
    <xf numFmtId="0" fontId="76" fillId="2" borderId="87" xfId="0" applyNumberFormat="1" applyFont="1" applyFill="1" applyBorder="1" applyAlignment="1" applyProtection="1">
      <alignment horizontal="center" vertical="center" wrapText="1"/>
      <protection locked="0"/>
    </xf>
    <xf numFmtId="0" fontId="57" fillId="5" borderId="13" xfId="0" applyFont="1" applyFill="1" applyBorder="1" applyAlignment="1" applyProtection="1">
      <alignment horizontal="center" vertical="center" wrapText="1"/>
    </xf>
    <xf numFmtId="0" fontId="85" fillId="0" borderId="45" xfId="0" applyFont="1" applyFill="1" applyBorder="1" applyAlignment="1" applyProtection="1">
      <alignment horizontal="center" vertical="center"/>
      <protection locked="0"/>
    </xf>
    <xf numFmtId="0" fontId="89" fillId="5" borderId="24" xfId="0" applyNumberFormat="1" applyFont="1" applyFill="1" applyBorder="1" applyAlignment="1" applyProtection="1">
      <alignment horizontal="center" vertical="center" wrapText="1"/>
    </xf>
    <xf numFmtId="0" fontId="89" fillId="5" borderId="64"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63" fillId="5" borderId="3" xfId="0" applyNumberFormat="1" applyFont="1" applyFill="1" applyBorder="1" applyAlignment="1" applyProtection="1">
      <alignment horizontal="center" vertical="center" wrapText="1"/>
    </xf>
    <xf numFmtId="0" fontId="111" fillId="5" borderId="79" xfId="0" applyNumberFormat="1" applyFont="1" applyFill="1" applyBorder="1" applyAlignment="1" applyProtection="1">
      <alignment horizontal="center" vertical="center" wrapText="1"/>
    </xf>
    <xf numFmtId="0" fontId="57" fillId="5" borderId="4" xfId="0" applyFont="1" applyFill="1" applyBorder="1" applyAlignment="1" applyProtection="1">
      <alignment horizontal="center" vertical="center" wrapText="1"/>
    </xf>
    <xf numFmtId="0" fontId="89" fillId="5" borderId="75" xfId="0" applyNumberFormat="1" applyFont="1" applyFill="1" applyBorder="1" applyAlignment="1" applyProtection="1">
      <alignment horizontal="center" vertical="center" wrapText="1"/>
    </xf>
    <xf numFmtId="0" fontId="111" fillId="5" borderId="24" xfId="0" applyNumberFormat="1" applyFont="1" applyFill="1" applyBorder="1" applyAlignment="1" applyProtection="1">
      <alignment horizontal="center" vertical="center" wrapText="1"/>
    </xf>
    <xf numFmtId="0" fontId="57" fillId="5" borderId="25" xfId="0" applyFont="1" applyFill="1" applyBorder="1" applyAlignment="1" applyProtection="1">
      <alignment horizontal="center" vertical="center" wrapText="1"/>
    </xf>
    <xf numFmtId="0" fontId="22" fillId="5" borderId="11" xfId="0" applyFont="1" applyFill="1" applyBorder="1" applyAlignment="1" applyProtection="1">
      <alignment horizontal="center" vertical="center"/>
    </xf>
    <xf numFmtId="0" fontId="22" fillId="5" borderId="2" xfId="0" applyFont="1" applyFill="1" applyBorder="1" applyAlignment="1" applyProtection="1">
      <alignment horizontal="left" vertical="center"/>
    </xf>
    <xf numFmtId="0" fontId="22" fillId="5" borderId="12" xfId="0" applyFont="1" applyFill="1" applyBorder="1" applyAlignment="1" applyProtection="1">
      <alignment horizontal="center" vertical="center"/>
    </xf>
    <xf numFmtId="0" fontId="76" fillId="5" borderId="11" xfId="0" applyFont="1" applyFill="1" applyBorder="1" applyProtection="1">
      <alignment vertical="center"/>
    </xf>
    <xf numFmtId="0" fontId="76" fillId="5" borderId="12" xfId="0" applyFont="1" applyFill="1" applyBorder="1" applyProtection="1">
      <alignment vertical="center"/>
    </xf>
    <xf numFmtId="0" fontId="22" fillId="0" borderId="11" xfId="0" applyFont="1" applyBorder="1" applyProtection="1">
      <alignment vertical="center"/>
      <protection locked="0"/>
    </xf>
    <xf numFmtId="0" fontId="22" fillId="0" borderId="2" xfId="0" applyFont="1" applyBorder="1" applyProtection="1">
      <alignment vertical="center"/>
      <protection locked="0"/>
    </xf>
    <xf numFmtId="0" fontId="22" fillId="5" borderId="12" xfId="0" applyFont="1" applyFill="1" applyBorder="1" applyProtection="1">
      <alignment vertical="center"/>
    </xf>
    <xf numFmtId="0" fontId="76" fillId="5" borderId="22" xfId="0" applyFont="1" applyFill="1" applyBorder="1" applyProtection="1">
      <alignment vertical="center"/>
    </xf>
    <xf numFmtId="0" fontId="22" fillId="0" borderId="22" xfId="0" applyFont="1" applyBorder="1" applyProtection="1">
      <alignment vertical="center"/>
      <protection locked="0"/>
    </xf>
    <xf numFmtId="0" fontId="22" fillId="0" borderId="10" xfId="0" applyFont="1" applyBorder="1" applyProtection="1">
      <alignment vertical="center"/>
      <protection locked="0"/>
    </xf>
    <xf numFmtId="0" fontId="22" fillId="5" borderId="25" xfId="0" applyFont="1" applyFill="1" applyBorder="1" applyProtection="1">
      <alignment vertical="center"/>
    </xf>
    <xf numFmtId="0" fontId="80" fillId="5" borderId="43" xfId="0" applyFont="1" applyFill="1" applyBorder="1" applyProtection="1">
      <alignment vertical="center"/>
    </xf>
    <xf numFmtId="0" fontId="80" fillId="5" borderId="44" xfId="0" applyFont="1" applyFill="1" applyBorder="1" applyProtection="1">
      <alignment vertical="center"/>
    </xf>
    <xf numFmtId="0" fontId="80" fillId="5" borderId="46" xfId="0" applyFont="1" applyFill="1" applyBorder="1" applyProtection="1">
      <alignment vertical="center"/>
    </xf>
    <xf numFmtId="0" fontId="76" fillId="5" borderId="46" xfId="0" applyFont="1" applyFill="1" applyBorder="1" applyProtection="1">
      <alignment vertical="center"/>
    </xf>
    <xf numFmtId="0" fontId="22" fillId="5" borderId="28" xfId="2" applyFont="1" applyFill="1" applyBorder="1" applyAlignment="1" applyProtection="1">
      <alignment horizontal="center" vertical="center" wrapText="1"/>
    </xf>
    <xf numFmtId="182" fontId="90" fillId="6" borderId="25" xfId="0" applyNumberFormat="1" applyFont="1" applyFill="1" applyBorder="1" applyAlignment="1" applyProtection="1">
      <alignment horizontal="center" vertical="center"/>
      <protection locked="0"/>
    </xf>
    <xf numFmtId="0" fontId="102" fillId="5" borderId="21" xfId="0" applyFont="1" applyFill="1" applyBorder="1" applyAlignment="1" applyProtection="1">
      <alignment horizontal="right" vertical="center"/>
    </xf>
    <xf numFmtId="0" fontId="106" fillId="5" borderId="5" xfId="0" applyFont="1" applyFill="1" applyBorder="1" applyAlignment="1" applyProtection="1">
      <alignment horizontal="right" vertical="center"/>
    </xf>
    <xf numFmtId="0" fontId="106" fillId="5" borderId="8" xfId="0" applyFont="1" applyFill="1" applyBorder="1" applyAlignment="1" applyProtection="1">
      <alignment horizontal="center" vertical="center"/>
    </xf>
    <xf numFmtId="0" fontId="106" fillId="2" borderId="8" xfId="0" applyFont="1" applyFill="1" applyBorder="1" applyAlignment="1" applyProtection="1">
      <alignment vertical="center"/>
      <protection locked="0"/>
    </xf>
    <xf numFmtId="0" fontId="106" fillId="6" borderId="9" xfId="0" applyFont="1" applyFill="1" applyBorder="1" applyAlignment="1" applyProtection="1">
      <alignment vertical="center"/>
    </xf>
    <xf numFmtId="0" fontId="88" fillId="5" borderId="59" xfId="0" applyNumberFormat="1" applyFont="1" applyFill="1" applyBorder="1" applyAlignment="1" applyProtection="1">
      <alignment horizontal="right" vertical="center" wrapText="1"/>
    </xf>
    <xf numFmtId="0" fontId="88" fillId="5" borderId="57" xfId="0" applyNumberFormat="1" applyFont="1" applyFill="1" applyBorder="1" applyAlignment="1" applyProtection="1">
      <alignment vertical="center" wrapText="1"/>
    </xf>
    <xf numFmtId="0" fontId="113" fillId="3" borderId="30" xfId="0" applyNumberFormat="1" applyFont="1" applyFill="1" applyBorder="1" applyAlignment="1" applyProtection="1">
      <alignment vertical="center" wrapText="1"/>
      <protection locked="0"/>
    </xf>
    <xf numFmtId="0" fontId="113" fillId="5" borderId="30" xfId="0" applyNumberFormat="1" applyFont="1" applyFill="1" applyBorder="1" applyAlignment="1" applyProtection="1">
      <alignment vertical="center" wrapText="1"/>
    </xf>
    <xf numFmtId="0" fontId="113" fillId="3" borderId="59" xfId="0" applyNumberFormat="1" applyFont="1" applyFill="1" applyBorder="1" applyAlignment="1" applyProtection="1">
      <alignment vertical="center" wrapText="1"/>
      <protection locked="0"/>
    </xf>
    <xf numFmtId="0" fontId="113" fillId="5" borderId="57" xfId="0" applyNumberFormat="1" applyFont="1" applyFill="1" applyBorder="1" applyAlignment="1" applyProtection="1">
      <alignment vertical="center" wrapText="1"/>
    </xf>
    <xf numFmtId="0" fontId="88" fillId="5" borderId="60" xfId="0" applyNumberFormat="1" applyFont="1" applyFill="1" applyBorder="1" applyAlignment="1" applyProtection="1">
      <alignment vertical="center" wrapText="1"/>
    </xf>
    <xf numFmtId="0" fontId="88" fillId="5" borderId="48" xfId="0" applyNumberFormat="1" applyFont="1" applyFill="1" applyBorder="1" applyAlignment="1" applyProtection="1">
      <alignment vertical="center" wrapText="1"/>
    </xf>
    <xf numFmtId="0" fontId="88" fillId="5" borderId="56" xfId="0" applyNumberFormat="1" applyFont="1" applyFill="1" applyBorder="1" applyAlignment="1" applyProtection="1">
      <alignment vertical="center" wrapText="1"/>
    </xf>
    <xf numFmtId="0" fontId="88" fillId="5" borderId="61" xfId="0" applyNumberFormat="1" applyFont="1" applyFill="1" applyBorder="1" applyAlignment="1" applyProtection="1">
      <alignment vertical="center" wrapText="1"/>
    </xf>
    <xf numFmtId="0" fontId="81" fillId="5" borderId="8" xfId="0" applyFont="1" applyFill="1" applyBorder="1" applyAlignment="1" applyProtection="1">
      <alignment horizontal="center" vertical="center" wrapText="1"/>
    </xf>
    <xf numFmtId="0" fontId="81" fillId="5" borderId="5" xfId="0" applyFont="1" applyFill="1" applyBorder="1" applyAlignment="1" applyProtection="1">
      <alignment horizontal="left" vertical="center" wrapText="1"/>
    </xf>
    <xf numFmtId="0" fontId="81" fillId="5" borderId="2" xfId="0" applyFont="1" applyFill="1" applyBorder="1" applyAlignment="1" applyProtection="1">
      <alignment horizontal="left" vertical="center" wrapText="1"/>
    </xf>
    <xf numFmtId="0" fontId="81" fillId="5" borderId="8"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49" fontId="139" fillId="5" borderId="53" xfId="0" applyNumberFormat="1" applyFont="1" applyFill="1" applyBorder="1" applyAlignment="1" applyProtection="1">
      <alignment vertical="center"/>
    </xf>
    <xf numFmtId="0" fontId="63" fillId="5" borderId="28" xfId="0" applyFont="1" applyFill="1" applyBorder="1" applyAlignment="1" applyProtection="1">
      <alignment vertical="center"/>
      <protection locked="0"/>
    </xf>
    <xf numFmtId="0" fontId="83" fillId="5" borderId="10" xfId="0" applyFont="1" applyFill="1" applyBorder="1" applyAlignment="1" applyProtection="1">
      <alignment horizontal="left" vertical="center"/>
    </xf>
    <xf numFmtId="49" fontId="83" fillId="5" borderId="2" xfId="0" applyNumberFormat="1" applyFont="1" applyFill="1" applyBorder="1" applyAlignment="1" applyProtection="1">
      <alignment horizontal="center" vertical="center" wrapText="1"/>
    </xf>
    <xf numFmtId="0" fontId="76" fillId="5" borderId="20" xfId="0" applyFont="1" applyFill="1" applyBorder="1" applyProtection="1">
      <alignment vertical="center"/>
      <protection locked="0"/>
    </xf>
    <xf numFmtId="0" fontId="200" fillId="0" borderId="2" xfId="0" applyFont="1" applyBorder="1" applyAlignment="1" applyProtection="1">
      <alignment horizontal="center" vertical="center" wrapText="1"/>
      <protection locked="0"/>
    </xf>
    <xf numFmtId="0" fontId="202" fillId="0" borderId="2" xfId="0" applyFont="1" applyBorder="1" applyAlignment="1" applyProtection="1">
      <alignment horizontal="center" vertical="center" wrapText="1"/>
      <protection locked="0"/>
    </xf>
    <xf numFmtId="0" fontId="200" fillId="0" borderId="2" xfId="0" applyFont="1" applyBorder="1" applyAlignment="1" applyProtection="1">
      <alignment horizontal="center" vertical="center" wrapText="1"/>
    </xf>
    <xf numFmtId="0" fontId="83" fillId="5" borderId="1" xfId="0" applyFont="1" applyFill="1" applyBorder="1" applyAlignment="1" applyProtection="1">
      <alignment horizontal="right" vertical="center" wrapText="1"/>
    </xf>
    <xf numFmtId="0" fontId="83" fillId="5" borderId="11" xfId="0" applyFont="1" applyFill="1" applyBorder="1" applyAlignment="1" applyProtection="1">
      <alignment horizontal="right" vertical="center" wrapText="1"/>
    </xf>
    <xf numFmtId="0" fontId="83" fillId="5" borderId="92" xfId="0" applyFont="1" applyFill="1" applyBorder="1" applyAlignment="1" applyProtection="1">
      <alignment horizontal="right" vertical="center" wrapText="1"/>
    </xf>
    <xf numFmtId="0" fontId="162" fillId="0" borderId="0" xfId="10" applyFont="1">
      <alignment vertical="center"/>
    </xf>
    <xf numFmtId="0" fontId="162" fillId="0" borderId="0" xfId="10" applyFont="1" applyAlignment="1">
      <alignment horizontal="center" vertical="center"/>
    </xf>
    <xf numFmtId="49" fontId="91"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62" fillId="12" borderId="120" xfId="10" applyNumberFormat="1" applyFont="1" applyFill="1" applyBorder="1" applyAlignment="1">
      <alignment horizontal="center" vertical="center" wrapText="1"/>
    </xf>
    <xf numFmtId="185" fontId="162" fillId="12" borderId="127" xfId="10" applyNumberFormat="1" applyFont="1" applyFill="1" applyBorder="1" applyAlignment="1">
      <alignment horizontal="center" vertical="center" wrapText="1"/>
    </xf>
    <xf numFmtId="0" fontId="157" fillId="0" borderId="0" xfId="10" applyFont="1">
      <alignment vertical="center"/>
    </xf>
    <xf numFmtId="10" fontId="157" fillId="0" borderId="122" xfId="10" applyNumberFormat="1" applyFont="1" applyBorder="1">
      <alignment vertical="center"/>
    </xf>
    <xf numFmtId="10" fontId="157" fillId="0" borderId="0" xfId="10" applyNumberFormat="1" applyFont="1">
      <alignment vertical="center"/>
    </xf>
    <xf numFmtId="178" fontId="157" fillId="0" borderId="0" xfId="10" applyNumberFormat="1" applyFont="1">
      <alignment vertical="center"/>
    </xf>
    <xf numFmtId="182" fontId="157" fillId="0" borderId="122" xfId="10" applyNumberFormat="1" applyFont="1" applyBorder="1">
      <alignment vertical="center"/>
    </xf>
    <xf numFmtId="182" fontId="157" fillId="0" borderId="0" xfId="10" applyNumberFormat="1" applyFont="1">
      <alignment vertical="center"/>
    </xf>
    <xf numFmtId="185" fontId="157"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7" fillId="0" borderId="126" xfId="10" applyNumberFormat="1" applyFont="1" applyBorder="1">
      <alignment vertical="center"/>
    </xf>
    <xf numFmtId="10" fontId="157" fillId="0" borderId="19" xfId="10" applyNumberFormat="1" applyFont="1" applyBorder="1">
      <alignment vertical="center"/>
    </xf>
    <xf numFmtId="10" fontId="157"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7" fillId="0" borderId="132" xfId="10" applyNumberFormat="1" applyFont="1" applyBorder="1">
      <alignment vertical="center"/>
    </xf>
    <xf numFmtId="10" fontId="157" fillId="0" borderId="14" xfId="10" applyNumberFormat="1" applyFont="1" applyBorder="1">
      <alignment vertical="center"/>
    </xf>
    <xf numFmtId="0" fontId="157"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7" fillId="0" borderId="0" xfId="10" applyNumberFormat="1" applyFont="1" applyBorder="1">
      <alignment vertical="center"/>
    </xf>
    <xf numFmtId="185" fontId="162" fillId="12" borderId="124" xfId="10" applyNumberFormat="1" applyFont="1" applyFill="1" applyBorder="1" applyAlignment="1">
      <alignment horizontal="center" vertical="center" wrapText="1"/>
    </xf>
    <xf numFmtId="185" fontId="162" fillId="12" borderId="133" xfId="10" applyNumberFormat="1" applyFont="1" applyFill="1" applyBorder="1" applyAlignment="1">
      <alignment horizontal="center" vertical="center" wrapText="1"/>
    </xf>
    <xf numFmtId="0" fontId="157" fillId="13" borderId="120" xfId="10" applyFont="1" applyFill="1" applyBorder="1" applyAlignment="1" applyProtection="1">
      <alignment horizontal="center" vertical="center" wrapText="1"/>
    </xf>
    <xf numFmtId="0" fontId="157" fillId="13" borderId="121" xfId="10" applyFont="1" applyFill="1" applyBorder="1" applyAlignment="1" applyProtection="1">
      <alignment horizontal="center" vertical="center" wrapText="1"/>
    </xf>
    <xf numFmtId="49" fontId="91" fillId="6" borderId="2" xfId="10" applyNumberFormat="1" applyFont="1" applyFill="1" applyBorder="1" applyAlignment="1" applyProtection="1">
      <alignment horizontal="center" vertical="center" wrapText="1"/>
    </xf>
    <xf numFmtId="185" fontId="157" fillId="6" borderId="0" xfId="10" applyNumberFormat="1" applyFont="1" applyFill="1" applyAlignment="1">
      <alignment horizontal="center" vertical="center"/>
    </xf>
    <xf numFmtId="0" fontId="157" fillId="6" borderId="124" xfId="10" applyFont="1" applyFill="1" applyBorder="1" applyAlignment="1" applyProtection="1">
      <alignment horizontal="center" vertical="center" wrapText="1"/>
    </xf>
    <xf numFmtId="0" fontId="157" fillId="6" borderId="128" xfId="10" applyFont="1" applyFill="1" applyBorder="1" applyAlignment="1" applyProtection="1">
      <alignment horizontal="center" vertical="center" wrapText="1"/>
    </xf>
    <xf numFmtId="0" fontId="157" fillId="6" borderId="0" xfId="10" applyFont="1" applyFill="1">
      <alignment vertical="center"/>
    </xf>
    <xf numFmtId="10" fontId="157" fillId="6" borderId="122" xfId="10" applyNumberFormat="1" applyFont="1" applyFill="1" applyBorder="1">
      <alignment vertical="center"/>
    </xf>
    <xf numFmtId="10" fontId="157" fillId="6" borderId="0" xfId="10" applyNumberFormat="1" applyFont="1" applyFill="1">
      <alignment vertical="center"/>
    </xf>
    <xf numFmtId="178" fontId="157" fillId="6" borderId="0" xfId="10" applyNumberFormat="1" applyFont="1" applyFill="1">
      <alignment vertical="center"/>
    </xf>
    <xf numFmtId="10" fontId="157" fillId="6" borderId="126" xfId="10" applyNumberFormat="1" applyFont="1" applyFill="1" applyBorder="1">
      <alignment vertical="center"/>
    </xf>
    <xf numFmtId="10" fontId="157" fillId="6" borderId="19" xfId="10" applyNumberFormat="1" applyFont="1" applyFill="1" applyBorder="1">
      <alignment vertical="center"/>
    </xf>
    <xf numFmtId="0" fontId="157" fillId="12" borderId="130" xfId="10" applyFont="1" applyFill="1" applyBorder="1" applyAlignment="1" applyProtection="1">
      <alignment horizontal="center" vertical="center" wrapText="1"/>
    </xf>
    <xf numFmtId="0" fontId="157" fillId="12" borderId="131" xfId="10" applyFont="1" applyFill="1" applyBorder="1" applyAlignment="1" applyProtection="1">
      <alignment horizontal="center" vertical="center" wrapText="1"/>
    </xf>
    <xf numFmtId="185" fontId="162" fillId="12" borderId="130" xfId="10" applyNumberFormat="1" applyFont="1" applyFill="1" applyBorder="1" applyAlignment="1">
      <alignment horizontal="center" vertical="center" wrapText="1"/>
    </xf>
    <xf numFmtId="185" fontId="162" fillId="12" borderId="134" xfId="10" applyNumberFormat="1" applyFont="1" applyFill="1" applyBorder="1" applyAlignment="1">
      <alignment horizontal="center" vertical="center" wrapText="1"/>
    </xf>
    <xf numFmtId="185" fontId="157" fillId="14" borderId="0" xfId="10" applyNumberFormat="1" applyFont="1" applyFill="1" applyAlignment="1">
      <alignment horizontal="center" vertical="center"/>
    </xf>
    <xf numFmtId="185" fontId="157"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7" fillId="0" borderId="61" xfId="10" applyFont="1" applyBorder="1">
      <alignment vertical="center"/>
    </xf>
    <xf numFmtId="10" fontId="157" fillId="0" borderId="137" xfId="10" applyNumberFormat="1" applyFont="1" applyBorder="1">
      <alignment vertical="center"/>
    </xf>
    <xf numFmtId="10" fontId="157" fillId="0" borderId="61" xfId="10" applyNumberFormat="1" applyFont="1" applyBorder="1">
      <alignment vertical="center"/>
    </xf>
    <xf numFmtId="178" fontId="157" fillId="0" borderId="61" xfId="10" applyNumberFormat="1" applyFont="1" applyBorder="1">
      <alignment vertical="center"/>
    </xf>
    <xf numFmtId="10" fontId="157"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7" fillId="15" borderId="122" xfId="10" applyNumberFormat="1" applyFont="1" applyFill="1" applyBorder="1">
      <alignment vertical="center"/>
    </xf>
    <xf numFmtId="10" fontId="157" fillId="15" borderId="0" xfId="10" applyNumberFormat="1" applyFont="1" applyFill="1">
      <alignment vertical="center"/>
    </xf>
    <xf numFmtId="179" fontId="157" fillId="0" borderId="0" xfId="10" applyNumberFormat="1" applyFont="1" applyAlignment="1">
      <alignment horizontal="center" vertical="center"/>
    </xf>
    <xf numFmtId="10" fontId="157" fillId="15" borderId="126" xfId="10" applyNumberFormat="1" applyFont="1" applyFill="1" applyBorder="1">
      <alignment vertical="center"/>
    </xf>
    <xf numFmtId="10" fontId="157" fillId="15" borderId="19" xfId="10" applyNumberFormat="1" applyFont="1" applyFill="1" applyBorder="1">
      <alignment vertical="center"/>
    </xf>
    <xf numFmtId="10" fontId="157" fillId="15" borderId="137" xfId="10" applyNumberFormat="1" applyFont="1" applyFill="1" applyBorder="1">
      <alignment vertical="center"/>
    </xf>
    <xf numFmtId="10" fontId="157" fillId="15" borderId="61" xfId="10" applyNumberFormat="1" applyFont="1" applyFill="1" applyBorder="1">
      <alignment vertical="center"/>
    </xf>
    <xf numFmtId="179" fontId="157" fillId="0" borderId="61" xfId="10" applyNumberFormat="1" applyFont="1" applyBorder="1" applyAlignment="1">
      <alignment horizontal="center" vertical="center"/>
    </xf>
    <xf numFmtId="0" fontId="162" fillId="13" borderId="140" xfId="10" applyFont="1" applyFill="1" applyBorder="1" applyAlignment="1">
      <alignment horizontal="center" vertical="center" wrapText="1"/>
    </xf>
    <xf numFmtId="0" fontId="162" fillId="13" borderId="141" xfId="10" applyFont="1" applyFill="1" applyBorder="1" applyAlignment="1">
      <alignment horizontal="center" vertical="center" wrapText="1"/>
    </xf>
    <xf numFmtId="181" fontId="157" fillId="0" borderId="0" xfId="10" applyNumberFormat="1" applyFont="1" applyAlignment="1">
      <alignment horizontal="center" vertical="center"/>
    </xf>
    <xf numFmtId="181" fontId="157" fillId="0" borderId="122" xfId="10" applyNumberFormat="1" applyFont="1" applyBorder="1" applyAlignment="1">
      <alignment horizontal="center" vertical="center"/>
    </xf>
    <xf numFmtId="178" fontId="157"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62" fillId="12" borderId="130" xfId="10" applyFont="1" applyFill="1" applyBorder="1" applyAlignment="1">
      <alignment horizontal="center" vertical="center" wrapText="1"/>
    </xf>
    <xf numFmtId="0" fontId="162" fillId="12" borderId="134" xfId="10" applyFont="1" applyFill="1" applyBorder="1" applyAlignment="1">
      <alignment horizontal="center" vertical="center" wrapText="1"/>
    </xf>
    <xf numFmtId="178" fontId="157"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7" fillId="6" borderId="0" xfId="10" applyNumberFormat="1" applyFont="1" applyFill="1" applyAlignment="1">
      <alignment horizontal="center" vertical="center"/>
    </xf>
    <xf numFmtId="0" fontId="157" fillId="6" borderId="122" xfId="10" applyFont="1" applyFill="1" applyBorder="1">
      <alignment vertical="center"/>
    </xf>
    <xf numFmtId="179" fontId="157" fillId="6" borderId="0" xfId="10" applyNumberFormat="1" applyFont="1" applyFill="1" applyAlignment="1">
      <alignment horizontal="center" vertical="center"/>
    </xf>
    <xf numFmtId="0" fontId="162" fillId="12" borderId="142" xfId="10" applyFont="1" applyFill="1" applyBorder="1" applyAlignment="1">
      <alignment horizontal="center" vertical="center" wrapText="1"/>
    </xf>
    <xf numFmtId="0" fontId="162" fillId="12" borderId="143" xfId="10" applyFont="1" applyFill="1" applyBorder="1" applyAlignment="1">
      <alignment horizontal="center" vertical="center" wrapText="1"/>
    </xf>
    <xf numFmtId="0" fontId="162" fillId="12" borderId="144" xfId="10" applyFont="1" applyFill="1" applyBorder="1" applyAlignment="1">
      <alignment horizontal="center" vertical="center" wrapText="1"/>
    </xf>
    <xf numFmtId="0" fontId="215" fillId="0" borderId="0" xfId="10" applyFont="1">
      <alignment vertical="center"/>
    </xf>
    <xf numFmtId="0" fontId="163" fillId="0" borderId="0" xfId="10" applyFont="1">
      <alignment vertical="center"/>
    </xf>
    <xf numFmtId="0" fontId="163" fillId="0" borderId="122" xfId="10" applyFont="1" applyBorder="1">
      <alignment vertical="center"/>
    </xf>
    <xf numFmtId="181" fontId="163" fillId="0" borderId="0" xfId="10" applyNumberFormat="1" applyFont="1" applyAlignment="1">
      <alignment horizontal="center" vertical="center"/>
    </xf>
    <xf numFmtId="181" fontId="163"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62" fillId="0" borderId="0" xfId="10" applyFont="1" applyFill="1">
      <alignment vertical="center"/>
    </xf>
    <xf numFmtId="0" fontId="154"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162" fillId="0" borderId="0" xfId="10" applyFont="1" applyFill="1" applyBorder="1" applyAlignment="1">
      <alignment horizontal="center" vertical="center"/>
    </xf>
    <xf numFmtId="0" fontId="162" fillId="0" borderId="0" xfId="10" applyFont="1" applyFill="1" applyAlignment="1">
      <alignment horizontal="center" vertical="center"/>
    </xf>
    <xf numFmtId="0" fontId="157" fillId="0" borderId="0" xfId="10" applyFont="1" applyAlignment="1">
      <alignment horizontal="center" vertical="center"/>
    </xf>
    <xf numFmtId="0" fontId="162" fillId="0" borderId="122" xfId="10" applyFont="1" applyFill="1" applyBorder="1" applyAlignment="1">
      <alignment horizontal="center" vertical="center"/>
    </xf>
    <xf numFmtId="0" fontId="162" fillId="0" borderId="148" xfId="10" applyFont="1" applyBorder="1">
      <alignment vertical="center"/>
    </xf>
    <xf numFmtId="0" fontId="22" fillId="5" borderId="148" xfId="1" applyFont="1" applyFill="1" applyBorder="1" applyAlignment="1" applyProtection="1">
      <alignment horizontal="center" vertical="center"/>
    </xf>
    <xf numFmtId="0" fontId="162" fillId="0" borderId="148" xfId="10" applyFont="1" applyBorder="1" applyAlignment="1">
      <alignment horizontal="center" vertical="center"/>
    </xf>
    <xf numFmtId="0" fontId="162" fillId="0" borderId="148" xfId="10" applyFont="1" applyBorder="1" applyAlignment="1">
      <alignment vertical="center"/>
    </xf>
    <xf numFmtId="0" fontId="162"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5" fillId="6" borderId="0" xfId="10" applyFont="1" applyFill="1">
      <alignment vertical="center"/>
    </xf>
    <xf numFmtId="0" fontId="164" fillId="5" borderId="148" xfId="1" applyFont="1" applyFill="1" applyBorder="1" applyAlignment="1" applyProtection="1">
      <alignment horizontal="center" vertical="center"/>
    </xf>
    <xf numFmtId="0" fontId="157" fillId="6" borderId="0" xfId="10" applyNumberFormat="1" applyFont="1" applyFill="1" applyAlignment="1">
      <alignment horizontal="center" vertical="center"/>
    </xf>
    <xf numFmtId="14" fontId="157" fillId="0" borderId="0" xfId="10" applyNumberFormat="1" applyFont="1">
      <alignment vertical="center"/>
    </xf>
    <xf numFmtId="0" fontId="157" fillId="0" borderId="0" xfId="10" applyNumberFormat="1" applyFont="1" applyAlignment="1">
      <alignment horizontal="center" vertical="center"/>
    </xf>
    <xf numFmtId="0" fontId="205" fillId="0" borderId="0" xfId="10" applyFont="1">
      <alignment vertical="center"/>
    </xf>
    <xf numFmtId="10" fontId="91" fillId="5" borderId="12" xfId="3" applyNumberFormat="1" applyFont="1" applyFill="1" applyBorder="1" applyAlignment="1" applyProtection="1">
      <alignment horizontal="center" vertical="center" wrapText="1"/>
    </xf>
    <xf numFmtId="0" fontId="91" fillId="5" borderId="68" xfId="3" applyFont="1" applyFill="1" applyBorder="1" applyAlignment="1" applyProtection="1">
      <alignment horizontal="center" vertical="center" wrapText="1"/>
    </xf>
    <xf numFmtId="49" fontId="140" fillId="5" borderId="24" xfId="0" applyNumberFormat="1" applyFont="1" applyFill="1" applyBorder="1" applyAlignment="1" applyProtection="1">
      <alignment horizontal="left" vertical="center" wrapText="1"/>
    </xf>
    <xf numFmtId="0" fontId="62" fillId="5" borderId="55" xfId="3" applyFont="1" applyFill="1" applyBorder="1" applyAlignment="1" applyProtection="1">
      <alignment horizontal="left" vertical="center" wrapText="1"/>
    </xf>
    <xf numFmtId="186" fontId="88" fillId="5" borderId="55" xfId="3" applyNumberFormat="1" applyFont="1" applyFill="1" applyBorder="1" applyAlignment="1" applyProtection="1">
      <alignment horizontal="center" vertical="center" wrapText="1"/>
    </xf>
    <xf numFmtId="0" fontId="45" fillId="5" borderId="55" xfId="3" applyFont="1" applyFill="1" applyBorder="1" applyAlignment="1" applyProtection="1">
      <alignment horizontal="center" vertical="center" wrapText="1"/>
    </xf>
    <xf numFmtId="182" fontId="157" fillId="5" borderId="55" xfId="3" applyNumberFormat="1" applyFont="1" applyFill="1" applyBorder="1" applyAlignment="1" applyProtection="1">
      <alignment horizontal="center" vertical="center" wrapText="1"/>
    </xf>
    <xf numFmtId="0" fontId="91" fillId="5" borderId="69" xfId="3" applyFont="1" applyFill="1" applyBorder="1" applyAlignment="1" applyProtection="1">
      <alignment horizontal="center" vertical="center" wrapText="1"/>
    </xf>
    <xf numFmtId="10" fontId="89" fillId="5" borderId="83" xfId="3" applyNumberFormat="1" applyFont="1" applyFill="1" applyBorder="1" applyAlignment="1" applyProtection="1">
      <alignment horizontal="center" vertical="center" wrapText="1"/>
    </xf>
    <xf numFmtId="0" fontId="157" fillId="5" borderId="41" xfId="3" applyFont="1" applyFill="1" applyBorder="1" applyAlignment="1" applyProtection="1">
      <alignment horizontal="center" vertical="center" wrapText="1"/>
    </xf>
    <xf numFmtId="0" fontId="45" fillId="5" borderId="26" xfId="3" applyFont="1" applyFill="1" applyBorder="1" applyAlignment="1" applyProtection="1">
      <alignment horizontal="center" vertical="center" wrapText="1"/>
    </xf>
    <xf numFmtId="0" fontId="149" fillId="5" borderId="6" xfId="3" applyFont="1" applyFill="1" applyBorder="1" applyAlignment="1" applyProtection="1">
      <alignment vertical="center" wrapText="1"/>
      <protection locked="0"/>
    </xf>
    <xf numFmtId="0" fontId="149" fillId="5" borderId="39" xfId="3" applyFont="1" applyFill="1" applyBorder="1" applyAlignment="1" applyProtection="1">
      <alignment vertical="center"/>
      <protection locked="0"/>
    </xf>
    <xf numFmtId="0" fontId="149" fillId="5" borderId="26" xfId="3" applyFont="1" applyFill="1" applyBorder="1" applyAlignment="1" applyProtection="1">
      <alignment horizontal="center" vertical="center" wrapText="1"/>
      <protection locked="0"/>
    </xf>
    <xf numFmtId="178" fontId="76" fillId="0" borderId="67" xfId="0" applyNumberFormat="1" applyFont="1" applyFill="1" applyBorder="1" applyAlignment="1" applyProtection="1">
      <alignment horizontal="center" vertical="center" wrapText="1"/>
      <protection locked="0"/>
    </xf>
    <xf numFmtId="179" fontId="76" fillId="0" borderId="5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2" xfId="0" applyNumberFormat="1" applyFont="1" applyFill="1" applyBorder="1" applyAlignment="1" applyProtection="1">
      <alignment horizontal="center" vertical="center" wrapText="1"/>
      <protection locked="0"/>
    </xf>
    <xf numFmtId="0" fontId="76"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80" fillId="5" borderId="23" xfId="0" applyNumberFormat="1" applyFont="1" applyFill="1" applyBorder="1" applyAlignment="1" applyProtection="1">
      <alignment vertical="center"/>
    </xf>
    <xf numFmtId="0" fontId="53" fillId="5" borderId="11" xfId="0" applyNumberFormat="1" applyFont="1" applyFill="1" applyBorder="1" applyAlignment="1" applyProtection="1">
      <alignment horizontal="center" vertical="center" wrapText="1"/>
    </xf>
    <xf numFmtId="14" fontId="89" fillId="5" borderId="0" xfId="0" applyNumberFormat="1" applyFont="1" applyFill="1" applyAlignment="1" applyProtection="1">
      <alignment horizontal="center" vertical="center"/>
    </xf>
    <xf numFmtId="177" fontId="89" fillId="5" borderId="0" xfId="0" applyNumberFormat="1" applyFont="1" applyFill="1" applyAlignment="1" applyProtection="1">
      <alignment horizontal="center" vertical="center"/>
    </xf>
    <xf numFmtId="0" fontId="76" fillId="5" borderId="42" xfId="0" applyNumberFormat="1" applyFont="1" applyFill="1" applyBorder="1" applyAlignment="1" applyProtection="1">
      <alignment horizontal="center" vertical="center" wrapText="1"/>
    </xf>
    <xf numFmtId="189" fontId="76" fillId="5" borderId="42" xfId="0" applyNumberFormat="1" applyFont="1" applyFill="1" applyBorder="1" applyAlignment="1" applyProtection="1">
      <alignment horizontal="center" vertical="center" wrapText="1"/>
    </xf>
    <xf numFmtId="0" fontId="76" fillId="5" borderId="32" xfId="0" applyNumberFormat="1" applyFont="1" applyFill="1" applyBorder="1" applyAlignment="1" applyProtection="1">
      <alignment horizontal="center" vertical="center" wrapText="1"/>
      <protection locked="0"/>
    </xf>
    <xf numFmtId="189" fontId="76" fillId="5" borderId="6" xfId="0" applyNumberFormat="1" applyFont="1" applyFill="1" applyBorder="1" applyAlignment="1" applyProtection="1">
      <alignment horizontal="center" vertical="center" wrapText="1"/>
    </xf>
    <xf numFmtId="0" fontId="145" fillId="5" borderId="21" xfId="3" applyNumberFormat="1" applyFont="1" applyFill="1" applyBorder="1" applyAlignment="1" applyProtection="1">
      <alignment horizontal="center" vertical="center" wrapText="1"/>
      <protection locked="0"/>
    </xf>
    <xf numFmtId="0" fontId="80" fillId="6" borderId="2" xfId="0" applyNumberFormat="1" applyFont="1" applyFill="1" applyBorder="1" applyAlignment="1" applyProtection="1">
      <alignment horizontal="center" vertical="center" wrapText="1"/>
      <protection locked="0"/>
    </xf>
    <xf numFmtId="0" fontId="106" fillId="6" borderId="2" xfId="0" applyFont="1" applyFill="1" applyBorder="1" applyAlignment="1" applyProtection="1">
      <alignment horizontal="center" vertical="center"/>
      <protection locked="0"/>
    </xf>
    <xf numFmtId="0" fontId="80" fillId="5" borderId="2" xfId="0" applyFont="1" applyFill="1" applyBorder="1" applyAlignment="1" applyProtection="1">
      <alignment horizontal="center" vertical="center"/>
    </xf>
    <xf numFmtId="0" fontId="75" fillId="6" borderId="30" xfId="2" applyFont="1" applyFill="1" applyBorder="1" applyAlignment="1" applyProtection="1">
      <alignment horizontal="right" vertical="center"/>
      <protection locked="0"/>
    </xf>
    <xf numFmtId="0" fontId="81" fillId="0" borderId="8" xfId="0" applyFont="1" applyFill="1" applyBorder="1" applyAlignment="1" applyProtection="1">
      <alignment vertical="center"/>
      <protection locked="0"/>
    </xf>
    <xf numFmtId="0" fontId="139" fillId="5" borderId="8" xfId="0" applyFont="1" applyFill="1" applyBorder="1" applyAlignment="1" applyProtection="1">
      <alignment vertical="center"/>
    </xf>
    <xf numFmtId="0" fontId="80" fillId="5" borderId="5" xfId="0" applyFont="1" applyFill="1" applyBorder="1" applyAlignment="1" applyProtection="1">
      <alignment vertical="center"/>
    </xf>
    <xf numFmtId="0" fontId="80" fillId="5" borderId="8" xfId="0" applyFont="1" applyFill="1" applyBorder="1" applyAlignment="1" applyProtection="1">
      <alignment vertical="center"/>
    </xf>
    <xf numFmtId="0" fontId="80" fillId="5" borderId="16" xfId="0" applyFont="1" applyFill="1" applyBorder="1" applyAlignment="1" applyProtection="1">
      <alignment vertical="center"/>
    </xf>
    <xf numFmtId="0" fontId="81"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81" fillId="5" borderId="16" xfId="0" applyFont="1" applyFill="1" applyBorder="1" applyAlignment="1" applyProtection="1">
      <alignment horizontal="left" vertical="center"/>
    </xf>
    <xf numFmtId="0" fontId="53" fillId="5" borderId="5" xfId="0" applyFont="1" applyFill="1" applyBorder="1" applyAlignment="1" applyProtection="1">
      <alignment vertical="center"/>
    </xf>
    <xf numFmtId="178" fontId="81" fillId="5" borderId="5" xfId="0" applyNumberFormat="1" applyFont="1" applyFill="1" applyBorder="1" applyAlignment="1" applyProtection="1">
      <alignment vertical="center"/>
    </xf>
    <xf numFmtId="0" fontId="81" fillId="5" borderId="45" xfId="0" applyFont="1" applyFill="1" applyBorder="1" applyAlignment="1" applyProtection="1">
      <alignment vertical="center"/>
    </xf>
    <xf numFmtId="0" fontId="81" fillId="5" borderId="56" xfId="0" applyFont="1" applyFill="1" applyBorder="1" applyAlignment="1" applyProtection="1">
      <alignment vertical="center"/>
    </xf>
    <xf numFmtId="0" fontId="81" fillId="5" borderId="48" xfId="0" applyFont="1" applyFill="1" applyBorder="1" applyAlignment="1" applyProtection="1">
      <alignment vertical="center"/>
    </xf>
    <xf numFmtId="0" fontId="75" fillId="5" borderId="68" xfId="0" applyFont="1" applyFill="1" applyBorder="1" applyAlignment="1" applyProtection="1">
      <alignment vertical="center"/>
    </xf>
    <xf numFmtId="0" fontId="80" fillId="5" borderId="61" xfId="0" applyFont="1" applyFill="1" applyBorder="1" applyAlignment="1" applyProtection="1">
      <alignment vertical="center"/>
    </xf>
    <xf numFmtId="0" fontId="80" fillId="5" borderId="66" xfId="0" applyFont="1" applyFill="1" applyBorder="1" applyAlignment="1" applyProtection="1">
      <alignment vertical="center"/>
    </xf>
    <xf numFmtId="0" fontId="75" fillId="5" borderId="59" xfId="0" applyFont="1" applyFill="1" applyBorder="1" applyAlignment="1" applyProtection="1">
      <alignment vertical="center"/>
    </xf>
    <xf numFmtId="0" fontId="75" fillId="5" borderId="30" xfId="0" applyFont="1" applyFill="1" applyBorder="1" applyAlignment="1" applyProtection="1">
      <alignment vertical="center"/>
    </xf>
    <xf numFmtId="185" fontId="80" fillId="5" borderId="29" xfId="0" applyNumberFormat="1" applyFont="1" applyFill="1" applyBorder="1" applyAlignment="1" applyProtection="1">
      <alignment horizontal="center" vertical="center"/>
    </xf>
    <xf numFmtId="0" fontId="75" fillId="5" borderId="57" xfId="0" applyFont="1" applyFill="1" applyBorder="1" applyAlignment="1" applyProtection="1">
      <alignment vertical="center"/>
    </xf>
    <xf numFmtId="0" fontId="80" fillId="5" borderId="11" xfId="0" applyFont="1" applyFill="1" applyBorder="1" applyAlignment="1" applyProtection="1">
      <alignment horizontal="center" vertical="center"/>
    </xf>
    <xf numFmtId="0" fontId="80" fillId="5" borderId="4" xfId="0" applyFont="1" applyFill="1" applyBorder="1" applyAlignment="1" applyProtection="1">
      <alignment vertical="center"/>
    </xf>
    <xf numFmtId="185" fontId="81" fillId="0" borderId="2" xfId="0" applyNumberFormat="1" applyFont="1" applyFill="1" applyBorder="1" applyAlignment="1" applyProtection="1">
      <alignment horizontal="center" vertical="center"/>
      <protection locked="0"/>
    </xf>
    <xf numFmtId="185" fontId="81" fillId="0" borderId="12" xfId="0" applyNumberFormat="1" applyFont="1" applyFill="1" applyBorder="1" applyAlignment="1" applyProtection="1">
      <alignment horizontal="center" vertical="center"/>
      <protection locked="0"/>
    </xf>
    <xf numFmtId="49" fontId="81" fillId="5" borderId="43" xfId="0" applyNumberFormat="1" applyFont="1" applyFill="1" applyBorder="1" applyAlignment="1" applyProtection="1">
      <alignment horizontal="left" vertical="center"/>
    </xf>
    <xf numFmtId="185" fontId="81" fillId="0" borderId="44" xfId="0" applyNumberFormat="1" applyFont="1" applyFill="1" applyBorder="1" applyAlignment="1" applyProtection="1">
      <alignment horizontal="center" vertical="center"/>
      <protection locked="0"/>
    </xf>
    <xf numFmtId="185" fontId="81" fillId="0" borderId="46" xfId="0" applyNumberFormat="1" applyFont="1" applyFill="1" applyBorder="1" applyAlignment="1" applyProtection="1">
      <alignment horizontal="center" vertical="center"/>
      <protection locked="0"/>
    </xf>
    <xf numFmtId="49" fontId="75" fillId="5" borderId="59" xfId="0" applyNumberFormat="1" applyFont="1" applyFill="1" applyBorder="1" applyAlignment="1" applyProtection="1">
      <alignment vertical="center"/>
    </xf>
    <xf numFmtId="49" fontId="80" fillId="5" borderId="11"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49" fontId="81" fillId="5" borderId="11" xfId="2" applyNumberFormat="1" applyFont="1" applyFill="1" applyBorder="1" applyAlignment="1" applyProtection="1">
      <alignment horizontal="left" vertical="center"/>
    </xf>
    <xf numFmtId="0" fontId="81" fillId="5" borderId="5" xfId="2" applyFont="1" applyFill="1" applyBorder="1" applyAlignment="1" applyProtection="1">
      <alignment vertical="center"/>
    </xf>
    <xf numFmtId="180" fontId="81" fillId="5" borderId="2" xfId="2" applyNumberFormat="1" applyFont="1" applyFill="1" applyBorder="1" applyAlignment="1" applyProtection="1">
      <alignment horizontal="center" vertical="center"/>
    </xf>
    <xf numFmtId="0" fontId="81" fillId="5" borderId="2" xfId="0" applyFont="1" applyFill="1" applyBorder="1" applyAlignment="1" applyProtection="1">
      <alignment vertical="center"/>
    </xf>
    <xf numFmtId="182" fontId="81" fillId="5" borderId="2" xfId="2" applyNumberFormat="1" applyFont="1" applyFill="1" applyBorder="1" applyAlignment="1" applyProtection="1">
      <alignment horizontal="center" vertical="center"/>
    </xf>
    <xf numFmtId="9" fontId="81" fillId="5" borderId="2" xfId="2" applyNumberFormat="1" applyFont="1" applyFill="1" applyBorder="1" applyAlignment="1" applyProtection="1">
      <alignment horizontal="center" vertical="center"/>
    </xf>
    <xf numFmtId="178" fontId="81" fillId="5" borderId="2" xfId="2" applyNumberFormat="1" applyFont="1" applyFill="1" applyBorder="1" applyAlignment="1" applyProtection="1">
      <alignment horizontal="center" vertical="center"/>
    </xf>
    <xf numFmtId="10" fontId="81" fillId="5" borderId="2" xfId="2" applyNumberFormat="1" applyFont="1" applyFill="1" applyBorder="1" applyAlignment="1" applyProtection="1">
      <alignment horizontal="center" vertical="center"/>
    </xf>
    <xf numFmtId="49" fontId="80" fillId="5" borderId="11" xfId="2" applyNumberFormat="1" applyFont="1" applyFill="1" applyBorder="1" applyAlignment="1" applyProtection="1">
      <alignment horizontal="left" vertical="center"/>
    </xf>
    <xf numFmtId="0" fontId="80" fillId="5" borderId="5" xfId="2" applyFont="1" applyFill="1" applyBorder="1" applyAlignment="1" applyProtection="1">
      <alignment vertical="center"/>
    </xf>
    <xf numFmtId="178" fontId="80" fillId="5" borderId="2" xfId="2" applyNumberFormat="1" applyFont="1" applyFill="1" applyBorder="1" applyAlignment="1" applyProtection="1">
      <alignment horizontal="center" vertical="center"/>
    </xf>
    <xf numFmtId="0" fontId="80" fillId="5" borderId="2" xfId="2" applyFont="1" applyFill="1" applyBorder="1" applyAlignment="1" applyProtection="1">
      <alignment vertical="center"/>
    </xf>
    <xf numFmtId="180" fontId="80" fillId="5" borderId="2" xfId="2" applyNumberFormat="1" applyFont="1" applyFill="1" applyBorder="1" applyAlignment="1" applyProtection="1">
      <alignment horizontal="center" vertical="center"/>
    </xf>
    <xf numFmtId="9" fontId="80" fillId="5" borderId="2" xfId="2" applyNumberFormat="1" applyFont="1" applyFill="1" applyBorder="1" applyAlignment="1" applyProtection="1">
      <alignment horizontal="center" vertical="center"/>
    </xf>
    <xf numFmtId="10" fontId="80" fillId="5" borderId="2" xfId="2" applyNumberFormat="1" applyFont="1" applyFill="1" applyBorder="1" applyAlignment="1" applyProtection="1">
      <alignment horizontal="center" vertical="center"/>
    </xf>
    <xf numFmtId="178" fontId="80" fillId="5" borderId="0" xfId="0" applyNumberFormat="1" applyFont="1" applyFill="1" applyBorder="1" applyAlignment="1" applyProtection="1">
      <alignment horizontal="center" vertical="center"/>
    </xf>
    <xf numFmtId="0" fontId="81" fillId="5" borderId="2" xfId="2" applyFont="1" applyFill="1" applyBorder="1" applyAlignment="1" applyProtection="1">
      <alignment horizontal="left" vertical="center"/>
    </xf>
    <xf numFmtId="186" fontId="81" fillId="5" borderId="9" xfId="0" applyNumberFormat="1" applyFont="1" applyFill="1" applyBorder="1" applyAlignment="1" applyProtection="1">
      <alignment horizontal="center" vertical="center"/>
    </xf>
    <xf numFmtId="178" fontId="81" fillId="5" borderId="0" xfId="0" applyNumberFormat="1" applyFont="1" applyFill="1" applyBorder="1" applyAlignment="1" applyProtection="1">
      <alignment horizontal="center" vertical="center"/>
    </xf>
    <xf numFmtId="49" fontId="80" fillId="5" borderId="11" xfId="0" applyNumberFormat="1" applyFont="1" applyFill="1" applyBorder="1" applyAlignment="1" applyProtection="1">
      <alignment horizontal="left" vertical="center"/>
    </xf>
    <xf numFmtId="0" fontId="80" fillId="5" borderId="2" xfId="2" applyFont="1" applyFill="1" applyBorder="1" applyAlignment="1" applyProtection="1">
      <alignment horizontal="left" vertical="center"/>
    </xf>
    <xf numFmtId="0" fontId="81" fillId="5" borderId="5" xfId="2" applyFont="1" applyFill="1" applyBorder="1" applyAlignment="1" applyProtection="1">
      <alignment horizontal="left" vertical="center"/>
    </xf>
    <xf numFmtId="178" fontId="81" fillId="5" borderId="56" xfId="2" applyNumberFormat="1" applyFont="1" applyFill="1" applyBorder="1" applyAlignment="1" applyProtection="1">
      <alignment vertical="center"/>
    </xf>
    <xf numFmtId="185" fontId="75" fillId="5" borderId="55" xfId="0" applyNumberFormat="1" applyFont="1" applyFill="1" applyBorder="1" applyAlignment="1" applyProtection="1">
      <alignment horizontal="center" vertical="center"/>
    </xf>
    <xf numFmtId="0" fontId="81" fillId="6" borderId="0" xfId="0" applyFont="1" applyFill="1" applyProtection="1">
      <alignment vertical="center"/>
      <protection locked="0"/>
    </xf>
    <xf numFmtId="49" fontId="200" fillId="0" borderId="2" xfId="0" applyNumberFormat="1" applyFont="1" applyBorder="1" applyAlignment="1" applyProtection="1">
      <alignment horizontal="center" vertical="center" wrapText="1"/>
      <protection locked="0"/>
    </xf>
    <xf numFmtId="0" fontId="199" fillId="0" borderId="0" xfId="0" applyFont="1" applyAlignment="1">
      <alignment horizontal="center" vertical="center" wrapText="1"/>
    </xf>
    <xf numFmtId="0" fontId="199" fillId="0" borderId="0" xfId="0" applyFont="1" applyAlignment="1">
      <alignment horizontal="right" vertical="center"/>
    </xf>
    <xf numFmtId="0" fontId="199" fillId="0" borderId="19" xfId="0" applyFont="1" applyBorder="1" applyAlignment="1">
      <alignment vertical="center" wrapText="1"/>
    </xf>
    <xf numFmtId="0" fontId="191" fillId="0" borderId="0" xfId="0" applyFont="1" applyAlignment="1">
      <alignment horizontal="center" vertical="center" wrapText="1"/>
    </xf>
    <xf numFmtId="191" fontId="144"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5" fillId="0" borderId="0" xfId="0" applyFont="1">
      <alignment vertical="center"/>
    </xf>
    <xf numFmtId="0" fontId="185" fillId="0" borderId="0" xfId="0" applyFont="1" applyBorder="1">
      <alignment vertical="center"/>
    </xf>
    <xf numFmtId="0" fontId="185" fillId="0" borderId="2" xfId="0" applyFont="1" applyBorder="1" applyAlignment="1">
      <alignment vertical="center" wrapText="1"/>
    </xf>
    <xf numFmtId="0" fontId="185" fillId="0" borderId="2" xfId="0" applyFont="1" applyBorder="1" applyAlignment="1" applyProtection="1">
      <alignment horizontal="left" vertical="center"/>
    </xf>
    <xf numFmtId="0" fontId="185" fillId="0" borderId="0" xfId="0" applyFont="1" applyBorder="1" applyProtection="1">
      <alignment vertical="center"/>
      <protection locked="0"/>
    </xf>
    <xf numFmtId="0" fontId="185" fillId="0" borderId="2" xfId="0" applyFont="1" applyFill="1" applyBorder="1" applyAlignment="1" applyProtection="1">
      <alignment horizontal="left" vertical="center"/>
    </xf>
    <xf numFmtId="0" fontId="185" fillId="0" borderId="0" xfId="0" applyFont="1">
      <alignment vertical="center"/>
    </xf>
    <xf numFmtId="0" fontId="185" fillId="0" borderId="2" xfId="0" applyFont="1" applyBorder="1">
      <alignment vertical="center"/>
    </xf>
    <xf numFmtId="49" fontId="185" fillId="0" borderId="2" xfId="0" applyNumberFormat="1" applyFont="1" applyBorder="1" applyAlignment="1" applyProtection="1">
      <alignment horizontal="left" vertical="center"/>
    </xf>
    <xf numFmtId="0" fontId="185" fillId="0" borderId="2" xfId="0" applyNumberFormat="1" applyFont="1" applyBorder="1" applyAlignment="1" applyProtection="1">
      <alignment horizontal="left" vertical="center"/>
    </xf>
    <xf numFmtId="0" fontId="185" fillId="0" borderId="2" xfId="0" applyFont="1" applyBorder="1" applyAlignment="1">
      <alignment horizontal="left" vertical="center"/>
    </xf>
    <xf numFmtId="0" fontId="185" fillId="0" borderId="0" xfId="0" applyFont="1" applyBorder="1" applyAlignment="1">
      <alignment vertical="center" wrapText="1"/>
    </xf>
    <xf numFmtId="0" fontId="185" fillId="0" borderId="0" xfId="0" applyFont="1" applyBorder="1" applyAlignment="1">
      <alignment horizontal="left" vertical="center"/>
    </xf>
    <xf numFmtId="0" fontId="185" fillId="0" borderId="21" xfId="0" applyFont="1" applyBorder="1" applyAlignment="1">
      <alignment vertical="center" wrapText="1"/>
    </xf>
    <xf numFmtId="0" fontId="185" fillId="0" borderId="21" xfId="0" applyFont="1" applyBorder="1" applyAlignment="1" applyProtection="1">
      <alignment horizontal="left" vertical="center"/>
    </xf>
    <xf numFmtId="0" fontId="185" fillId="0" borderId="71" xfId="0" applyFont="1" applyBorder="1" applyAlignment="1">
      <alignment horizontal="left" vertical="center" wrapText="1"/>
    </xf>
    <xf numFmtId="0" fontId="159" fillId="0" borderId="71" xfId="0" applyFont="1" applyBorder="1" applyAlignment="1" applyProtection="1">
      <alignment horizontal="left" vertical="center"/>
      <protection locked="0"/>
    </xf>
    <xf numFmtId="0" fontId="185" fillId="0" borderId="91" xfId="0" applyFont="1" applyBorder="1">
      <alignment vertical="center"/>
    </xf>
    <xf numFmtId="0" fontId="185" fillId="0" borderId="74" xfId="0" applyFont="1" applyBorder="1" applyAlignment="1">
      <alignment vertical="center" wrapText="1"/>
    </xf>
    <xf numFmtId="0" fontId="185" fillId="0" borderId="74" xfId="0" applyFont="1" applyBorder="1" applyAlignment="1" applyProtection="1">
      <alignment horizontal="left" vertical="center"/>
    </xf>
    <xf numFmtId="0" fontId="185" fillId="0" borderId="78" xfId="0" applyFont="1" applyBorder="1" applyProtection="1">
      <alignment vertical="center"/>
      <protection locked="0"/>
    </xf>
    <xf numFmtId="49" fontId="185" fillId="0" borderId="78" xfId="0" applyNumberFormat="1" applyFont="1" applyBorder="1" applyProtection="1">
      <alignment vertical="center"/>
      <protection locked="0"/>
    </xf>
    <xf numFmtId="184" fontId="185" fillId="0" borderId="78" xfId="0" applyNumberFormat="1" applyFont="1" applyBorder="1" applyProtection="1">
      <alignment vertical="center"/>
      <protection locked="0"/>
    </xf>
    <xf numFmtId="0" fontId="185" fillId="0" borderId="0" xfId="0" applyFont="1" applyFill="1" applyBorder="1" applyProtection="1">
      <alignment vertical="center"/>
    </xf>
    <xf numFmtId="0" fontId="185" fillId="0" borderId="71" xfId="0" applyFont="1" applyBorder="1" applyAlignment="1">
      <alignment vertical="center" wrapText="1"/>
    </xf>
    <xf numFmtId="0" fontId="185" fillId="0" borderId="71" xfId="0" applyFont="1" applyBorder="1" applyAlignment="1" applyProtection="1">
      <alignment horizontal="left" vertical="center"/>
    </xf>
    <xf numFmtId="0" fontId="185" fillId="0" borderId="78" xfId="0" applyFont="1" applyBorder="1">
      <alignment vertical="center"/>
    </xf>
    <xf numFmtId="0" fontId="185" fillId="0" borderId="74" xfId="0" applyFont="1" applyBorder="1">
      <alignment vertical="center"/>
    </xf>
    <xf numFmtId="191" fontId="185" fillId="0" borderId="71" xfId="0" applyNumberFormat="1" applyFont="1" applyBorder="1" applyAlignment="1" applyProtection="1">
      <alignment horizontal="left" vertical="center"/>
    </xf>
    <xf numFmtId="0" fontId="185" fillId="0" borderId="21" xfId="0" applyFont="1" applyBorder="1" applyAlignment="1">
      <alignment horizontal="left" vertical="center"/>
    </xf>
    <xf numFmtId="0" fontId="185" fillId="0" borderId="71" xfId="0" applyNumberFormat="1" applyFont="1" applyBorder="1" applyAlignment="1" applyProtection="1">
      <alignment horizontal="left" vertical="center"/>
    </xf>
    <xf numFmtId="0" fontId="185"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6" fillId="2" borderId="30" xfId="0" applyNumberFormat="1" applyFont="1" applyFill="1" applyBorder="1" applyAlignment="1" applyProtection="1">
      <alignment horizontal="center" vertical="center" wrapText="1"/>
      <protection locked="0"/>
    </xf>
    <xf numFmtId="0" fontId="57"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6" fillId="5" borderId="62" xfId="0" applyNumberFormat="1" applyFont="1" applyFill="1" applyBorder="1" applyAlignment="1" applyProtection="1">
      <alignment horizontal="center" vertical="center" wrapText="1"/>
    </xf>
    <xf numFmtId="0" fontId="80" fillId="5" borderId="59"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5" borderId="87" xfId="0" applyFont="1" applyFill="1" applyBorder="1" applyAlignment="1" applyProtection="1">
      <alignment vertical="center" wrapText="1"/>
    </xf>
    <xf numFmtId="0" fontId="108" fillId="5" borderId="64" xfId="0" applyFont="1" applyFill="1" applyBorder="1" applyAlignment="1" applyProtection="1">
      <alignment vertical="center" wrapText="1"/>
    </xf>
    <xf numFmtId="0" fontId="88" fillId="5" borderId="64" xfId="0" applyFont="1" applyFill="1" applyBorder="1" applyAlignment="1" applyProtection="1">
      <alignment vertical="center" wrapText="1"/>
    </xf>
    <xf numFmtId="0" fontId="88" fillId="8" borderId="87" xfId="0" applyFont="1" applyFill="1" applyBorder="1" applyAlignment="1" applyProtection="1">
      <alignment vertical="center" wrapText="1"/>
    </xf>
    <xf numFmtId="0" fontId="88" fillId="8" borderId="54" xfId="0" applyFont="1" applyFill="1" applyBorder="1" applyAlignment="1" applyProtection="1">
      <alignment vertical="center" wrapText="1"/>
    </xf>
    <xf numFmtId="0" fontId="80" fillId="5" borderId="57" xfId="0" applyFont="1" applyFill="1" applyBorder="1" applyAlignment="1" applyProtection="1">
      <alignment horizontal="left" vertical="center" wrapText="1"/>
    </xf>
    <xf numFmtId="0" fontId="80" fillId="5" borderId="16" xfId="0" applyFont="1" applyFill="1" applyBorder="1" applyAlignment="1" applyProtection="1">
      <alignment horizontal="left" vertical="center" wrapText="1"/>
    </xf>
    <xf numFmtId="0" fontId="80" fillId="5" borderId="63" xfId="0" applyFont="1" applyFill="1" applyBorder="1" applyAlignment="1" applyProtection="1">
      <alignment horizontal="left" vertical="center" wrapText="1"/>
    </xf>
    <xf numFmtId="0" fontId="80" fillId="5" borderId="16" xfId="0" applyFont="1" applyFill="1" applyBorder="1" applyAlignment="1" applyProtection="1">
      <alignment horizontal="left" vertical="center" wrapText="1"/>
      <protection locked="0"/>
    </xf>
    <xf numFmtId="0" fontId="80" fillId="8" borderId="63" xfId="0" applyFont="1" applyFill="1" applyBorder="1" applyAlignment="1" applyProtection="1">
      <alignment horizontal="left" vertical="center" wrapText="1"/>
      <protection locked="0"/>
    </xf>
    <xf numFmtId="0" fontId="80" fillId="8" borderId="66" xfId="0" applyFont="1" applyFill="1" applyBorder="1" applyAlignment="1" applyProtection="1">
      <alignment horizontal="left" vertical="center" wrapText="1"/>
      <protection locked="0"/>
    </xf>
    <xf numFmtId="0" fontId="89" fillId="5" borderId="0" xfId="3" applyFont="1" applyFill="1" applyAlignment="1" applyProtection="1">
      <alignment horizontal="center" vertical="center" wrapText="1"/>
      <protection locked="0"/>
    </xf>
    <xf numFmtId="0" fontId="111" fillId="0" borderId="2" xfId="3" applyFont="1" applyFill="1" applyBorder="1" applyAlignment="1" applyProtection="1">
      <alignment horizontal="center" vertical="center" wrapText="1"/>
      <protection locked="0"/>
    </xf>
    <xf numFmtId="0" fontId="91" fillId="5" borderId="2" xfId="3" applyFont="1" applyFill="1" applyBorder="1" applyAlignment="1" applyProtection="1">
      <alignment horizontal="center" vertical="center" wrapText="1"/>
      <protection locked="0"/>
    </xf>
    <xf numFmtId="180" fontId="91" fillId="5" borderId="2" xfId="3" applyNumberFormat="1" applyFont="1" applyFill="1" applyBorder="1" applyAlignment="1" applyProtection="1">
      <alignment horizontal="center" vertical="center" wrapText="1"/>
      <protection locked="0"/>
    </xf>
    <xf numFmtId="0" fontId="91" fillId="8" borderId="0" xfId="3" applyFont="1" applyFill="1" applyAlignment="1" applyProtection="1">
      <alignment horizontal="center" vertical="center" wrapText="1"/>
    </xf>
    <xf numFmtId="0" fontId="91" fillId="0" borderId="0" xfId="3" applyFont="1" applyAlignment="1" applyProtection="1">
      <alignment horizontal="center" vertical="center" wrapText="1"/>
    </xf>
    <xf numFmtId="185" fontId="157" fillId="5" borderId="2" xfId="3" applyNumberFormat="1" applyFont="1" applyFill="1" applyBorder="1" applyAlignment="1" applyProtection="1">
      <alignment horizontal="center" vertical="center"/>
    </xf>
    <xf numFmtId="178"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wrapText="1"/>
    </xf>
    <xf numFmtId="0" fontId="157" fillId="5" borderId="2" xfId="3" applyFont="1" applyFill="1" applyBorder="1" applyAlignment="1" applyProtection="1">
      <alignment vertical="center" wrapText="1"/>
    </xf>
    <xf numFmtId="0" fontId="91" fillId="5" borderId="9" xfId="3" applyFont="1" applyFill="1" applyBorder="1" applyAlignment="1" applyProtection="1">
      <alignment horizontal="center" vertical="center" wrapText="1"/>
      <protection locked="0"/>
    </xf>
    <xf numFmtId="0" fontId="145" fillId="5" borderId="2" xfId="3" applyFont="1" applyFill="1" applyBorder="1" applyAlignment="1" applyProtection="1">
      <alignment horizontal="center" vertical="center" wrapText="1"/>
    </xf>
    <xf numFmtId="0" fontId="111" fillId="5" borderId="2" xfId="3" applyFont="1" applyFill="1" applyBorder="1" applyAlignment="1" applyProtection="1">
      <alignment horizontal="center" vertical="center" wrapText="1"/>
    </xf>
    <xf numFmtId="178" fontId="132" fillId="5" borderId="91" xfId="4" applyNumberFormat="1" applyFont="1" applyFill="1" applyBorder="1" applyAlignment="1">
      <alignment horizontal="center"/>
    </xf>
    <xf numFmtId="0" fontId="0" fillId="0" borderId="0" xfId="0" applyAlignment="1"/>
    <xf numFmtId="0" fontId="151" fillId="5" borderId="0" xfId="0" applyFont="1" applyFill="1" applyAlignment="1"/>
    <xf numFmtId="0" fontId="132" fillId="5" borderId="0" xfId="4" applyFont="1" applyFill="1"/>
    <xf numFmtId="0" fontId="132" fillId="5" borderId="1" xfId="4" applyFont="1" applyFill="1" applyBorder="1"/>
    <xf numFmtId="0" fontId="205" fillId="5" borderId="6" xfId="4" applyFont="1" applyFill="1" applyBorder="1" applyAlignment="1">
      <alignment horizontal="center" vertical="center" wrapText="1"/>
    </xf>
    <xf numFmtId="0" fontId="132" fillId="5" borderId="7" xfId="4" applyFont="1" applyFill="1" applyBorder="1" applyAlignment="1">
      <alignment horizontal="center"/>
    </xf>
    <xf numFmtId="0" fontId="205" fillId="5" borderId="1" xfId="4" applyFont="1" applyFill="1" applyBorder="1" applyAlignment="1">
      <alignment horizontal="center" vertical="center" wrapText="1"/>
    </xf>
    <xf numFmtId="0" fontId="132" fillId="5" borderId="6" xfId="4" applyNumberFormat="1" applyFont="1" applyFill="1" applyBorder="1" applyAlignment="1">
      <alignment horizontal="center"/>
    </xf>
    <xf numFmtId="0" fontId="132" fillId="0" borderId="0" xfId="4" applyFont="1"/>
    <xf numFmtId="0" fontId="132" fillId="5" borderId="11" xfId="4" applyFont="1" applyFill="1" applyBorder="1"/>
    <xf numFmtId="0" fontId="205" fillId="5" borderId="2" xfId="4" applyFont="1" applyFill="1" applyBorder="1" applyAlignment="1">
      <alignment horizontal="center" vertical="center" wrapText="1"/>
    </xf>
    <xf numFmtId="0" fontId="132" fillId="5" borderId="12" xfId="4" applyFont="1" applyFill="1" applyBorder="1" applyAlignment="1">
      <alignment horizontal="center"/>
    </xf>
    <xf numFmtId="0" fontId="205" fillId="5" borderId="11" xfId="4" applyFont="1" applyFill="1" applyBorder="1" applyAlignment="1">
      <alignment horizontal="center" vertical="center" wrapText="1"/>
    </xf>
    <xf numFmtId="0" fontId="132" fillId="5" borderId="2" xfId="4" applyNumberFormat="1" applyFont="1" applyFill="1" applyBorder="1" applyAlignment="1">
      <alignment horizontal="center"/>
    </xf>
    <xf numFmtId="0" fontId="132" fillId="5" borderId="43" xfId="4" applyFont="1" applyFill="1" applyBorder="1"/>
    <xf numFmtId="0" fontId="205" fillId="5" borderId="44" xfId="4" applyFont="1" applyFill="1" applyBorder="1" applyAlignment="1">
      <alignment horizontal="center" vertical="center" wrapText="1"/>
    </xf>
    <xf numFmtId="0" fontId="132" fillId="5" borderId="46" xfId="4" applyFont="1" applyFill="1" applyBorder="1" applyAlignment="1">
      <alignment horizontal="center"/>
    </xf>
    <xf numFmtId="0" fontId="205" fillId="5" borderId="43" xfId="4" applyFont="1" applyFill="1" applyBorder="1" applyAlignment="1">
      <alignment horizontal="center" vertical="center" wrapText="1"/>
    </xf>
    <xf numFmtId="0" fontId="132" fillId="5" borderId="44" xfId="4" applyNumberFormat="1" applyFont="1" applyFill="1" applyBorder="1" applyAlignment="1">
      <alignment horizontal="center"/>
    </xf>
    <xf numFmtId="0" fontId="132" fillId="5" borderId="0" xfId="4" applyNumberFormat="1" applyFont="1" applyFill="1" applyAlignment="1">
      <alignment horizontal="center"/>
    </xf>
    <xf numFmtId="0" fontId="132" fillId="5" borderId="0" xfId="4" applyFont="1" applyFill="1" applyAlignment="1">
      <alignment horizontal="right"/>
    </xf>
    <xf numFmtId="14" fontId="132"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5"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5" fillId="0" borderId="0" xfId="4" applyFont="1" applyAlignment="1"/>
    <xf numFmtId="0" fontId="205"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32" fillId="5" borderId="2" xfId="4" applyFont="1" applyFill="1" applyBorder="1"/>
    <xf numFmtId="0" fontId="235" fillId="5" borderId="2" xfId="4" applyFont="1" applyFill="1" applyBorder="1" applyAlignment="1">
      <alignment horizontal="center" vertical="center" wrapText="1"/>
    </xf>
    <xf numFmtId="0" fontId="205"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32" fillId="5" borderId="2" xfId="4" applyFont="1" applyFill="1" applyBorder="1" applyAlignment="1">
      <alignment horizontal="center" wrapText="1"/>
    </xf>
    <xf numFmtId="14" fontId="132"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5" fillId="5" borderId="2" xfId="4" applyNumberFormat="1" applyFont="1" applyFill="1" applyBorder="1" applyAlignment="1">
      <alignment horizontal="center" wrapText="1"/>
    </xf>
    <xf numFmtId="0" fontId="132" fillId="5" borderId="0" xfId="4" applyFont="1" applyFill="1" applyBorder="1" applyAlignment="1">
      <alignment horizontal="center" wrapText="1"/>
    </xf>
    <xf numFmtId="14" fontId="132"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32"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8"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0" fontId="157" fillId="6" borderId="0" xfId="10" applyNumberFormat="1" applyFont="1" applyFill="1" applyAlignment="1">
      <alignment horizontal="center" vertical="center"/>
    </xf>
    <xf numFmtId="0" fontId="50" fillId="5" borderId="21" xfId="0" applyFont="1" applyFill="1" applyBorder="1" applyAlignment="1" applyProtection="1">
      <alignment horizontal="left" vertical="center" wrapText="1"/>
    </xf>
    <xf numFmtId="0" fontId="50" fillId="5" borderId="2" xfId="0" applyFont="1" applyFill="1" applyBorder="1" applyAlignment="1" applyProtection="1">
      <alignment horizontal="left" vertical="center" wrapText="1"/>
    </xf>
    <xf numFmtId="0" fontId="50" fillId="5" borderId="44" xfId="0" applyFont="1" applyFill="1" applyBorder="1" applyAlignment="1" applyProtection="1">
      <alignment horizontal="left" vertical="center"/>
    </xf>
    <xf numFmtId="0" fontId="16" fillId="0" borderId="2" xfId="0" applyFont="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22" fillId="6" borderId="21" xfId="0" applyFont="1" applyFill="1" applyBorder="1" applyAlignment="1" applyProtection="1">
      <alignment horizontal="center" vertical="center" wrapText="1"/>
      <protection locked="0"/>
    </xf>
    <xf numFmtId="177" fontId="16" fillId="0" borderId="2" xfId="0" applyNumberFormat="1" applyFont="1" applyBorder="1" applyAlignment="1" applyProtection="1">
      <alignment vertical="center" wrapText="1"/>
      <protection locked="0"/>
    </xf>
    <xf numFmtId="0" fontId="16" fillId="2" borderId="17" xfId="0" applyFont="1" applyFill="1" applyBorder="1" applyAlignment="1" applyProtection="1">
      <alignment horizontal="left" vertical="center"/>
      <protection locked="0"/>
    </xf>
    <xf numFmtId="0" fontId="16" fillId="2" borderId="8" xfId="0" applyFont="1" applyFill="1" applyBorder="1" applyAlignment="1" applyProtection="1">
      <alignment horizontal="left" vertical="center"/>
      <protection locked="0"/>
    </xf>
    <xf numFmtId="0" fontId="16" fillId="2" borderId="5" xfId="0" applyFont="1" applyFill="1" applyBorder="1" applyAlignment="1" applyProtection="1">
      <alignment horizontal="left" vertical="center"/>
      <protection locked="0"/>
    </xf>
    <xf numFmtId="177" fontId="16" fillId="0" borderId="2" xfId="0" applyNumberFormat="1" applyFont="1" applyBorder="1" applyAlignment="1" applyProtection="1">
      <alignment horizontal="center" vertical="center" wrapText="1"/>
      <protection locked="0"/>
    </xf>
    <xf numFmtId="177" fontId="16" fillId="0" borderId="21" xfId="0" applyNumberFormat="1"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178" fontId="16" fillId="0" borderId="2" xfId="2" applyNumberFormat="1" applyFont="1" applyFill="1" applyBorder="1" applyAlignment="1" applyProtection="1">
      <alignment vertical="center"/>
      <protection locked="0" hidden="1"/>
    </xf>
    <xf numFmtId="182" fontId="157" fillId="0" borderId="2" xfId="0" applyNumberFormat="1" applyFont="1" applyFill="1" applyBorder="1" applyAlignment="1" applyProtection="1">
      <alignment horizontal="center" vertical="center"/>
      <protection locked="0"/>
    </xf>
    <xf numFmtId="178" fontId="81" fillId="0" borderId="2" xfId="2" applyNumberFormat="1" applyFont="1" applyFill="1" applyBorder="1" applyAlignment="1" applyProtection="1">
      <alignment horizontal="center" vertical="center"/>
      <protection locked="0"/>
    </xf>
    <xf numFmtId="10" fontId="81" fillId="0" borderId="2" xfId="2" applyNumberFormat="1" applyFont="1" applyFill="1" applyBorder="1" applyAlignment="1" applyProtection="1">
      <alignment horizontal="center" vertical="center"/>
      <protection locked="0"/>
    </xf>
    <xf numFmtId="9" fontId="81" fillId="0" borderId="5" xfId="0" applyNumberFormat="1" applyFont="1" applyFill="1" applyBorder="1" applyAlignment="1" applyProtection="1">
      <alignment horizontal="center" vertical="center"/>
      <protection locked="0"/>
    </xf>
    <xf numFmtId="185" fontId="157" fillId="0" borderId="10" xfId="0" applyNumberFormat="1" applyFont="1" applyFill="1" applyBorder="1" applyAlignment="1" applyProtection="1">
      <alignment horizontal="center" vertical="center"/>
      <protection locked="0"/>
    </xf>
    <xf numFmtId="0" fontId="80" fillId="5" borderId="2" xfId="0" applyNumberFormat="1" applyFont="1" applyFill="1" applyBorder="1" applyAlignment="1" applyProtection="1">
      <alignment horizontal="right"/>
    </xf>
    <xf numFmtId="0" fontId="80" fillId="5" borderId="2" xfId="2" applyNumberFormat="1" applyFont="1" applyFill="1" applyBorder="1" applyAlignment="1" applyProtection="1">
      <alignment horizontal="right"/>
    </xf>
    <xf numFmtId="0" fontId="53" fillId="5" borderId="2" xfId="2" applyFont="1" applyFill="1" applyBorder="1" applyAlignment="1" applyProtection="1">
      <alignment vertical="center" wrapText="1"/>
    </xf>
    <xf numFmtId="0" fontId="45" fillId="5" borderId="44" xfId="0" applyFont="1" applyFill="1" applyBorder="1" applyAlignment="1" applyProtection="1">
      <alignment vertical="center"/>
    </xf>
    <xf numFmtId="49" fontId="138" fillId="5" borderId="11" xfId="0" applyNumberFormat="1" applyFont="1" applyFill="1" applyBorder="1" applyAlignment="1" applyProtection="1">
      <alignment horizontal="left" vertical="center" wrapText="1"/>
    </xf>
    <xf numFmtId="0" fontId="24" fillId="5" borderId="5" xfId="2" applyFont="1" applyFill="1" applyBorder="1" applyAlignment="1" applyProtection="1">
      <alignment vertical="center"/>
    </xf>
    <xf numFmtId="0" fontId="24" fillId="5" borderId="2" xfId="2" applyFont="1" applyFill="1" applyBorder="1" applyAlignment="1" applyProtection="1">
      <alignment vertical="center"/>
    </xf>
    <xf numFmtId="10" fontId="90" fillId="5" borderId="2" xfId="2" applyNumberFormat="1" applyFont="1" applyFill="1" applyBorder="1" applyAlignment="1" applyProtection="1">
      <alignment horizontal="center" vertical="center"/>
    </xf>
    <xf numFmtId="0" fontId="90" fillId="5" borderId="10" xfId="0" applyNumberFormat="1" applyFont="1" applyFill="1" applyBorder="1" applyAlignment="1" applyProtection="1">
      <alignment horizontal="center" vertical="center"/>
    </xf>
    <xf numFmtId="182" fontId="76" fillId="0" borderId="12" xfId="0" applyNumberFormat="1" applyFont="1" applyBorder="1" applyAlignment="1" applyProtection="1">
      <alignment horizontal="center" vertical="center"/>
      <protection locked="0"/>
    </xf>
    <xf numFmtId="0" fontId="25" fillId="5" borderId="1" xfId="0" applyFont="1" applyFill="1" applyBorder="1" applyAlignment="1" applyProtection="1">
      <alignment vertical="center" wrapText="1"/>
    </xf>
    <xf numFmtId="0" fontId="111" fillId="5" borderId="7" xfId="0" applyFont="1" applyFill="1" applyBorder="1" applyAlignment="1" applyProtection="1">
      <alignment horizontal="center" vertical="center" wrapText="1"/>
    </xf>
    <xf numFmtId="0" fontId="25" fillId="5" borderId="43" xfId="0" applyFont="1" applyFill="1" applyBorder="1" applyAlignment="1" applyProtection="1">
      <alignment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50" fillId="5" borderId="2" xfId="14" applyFont="1" applyFill="1" applyBorder="1" applyAlignment="1">
      <alignment vertical="center"/>
    </xf>
    <xf numFmtId="0" fontId="261" fillId="0" borderId="2" xfId="14" applyBorder="1" applyAlignment="1" applyProtection="1">
      <alignment vertical="center"/>
      <protection locked="0"/>
    </xf>
    <xf numFmtId="0" fontId="157" fillId="5" borderId="2" xfId="0" applyFont="1" applyFill="1" applyBorder="1" applyAlignment="1" applyProtection="1">
      <alignment horizontal="center" vertical="center" wrapText="1"/>
    </xf>
    <xf numFmtId="0" fontId="83"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81" fillId="5" borderId="0" xfId="0" applyNumberFormat="1" applyFont="1" applyFill="1" applyProtection="1">
      <alignment vertical="center"/>
    </xf>
    <xf numFmtId="0" fontId="16" fillId="5" borderId="0" xfId="0" applyFont="1" applyFill="1" applyProtection="1">
      <alignment vertical="center"/>
      <protection locked="0"/>
    </xf>
    <xf numFmtId="0" fontId="170" fillId="5" borderId="5" xfId="0" applyFont="1" applyFill="1" applyBorder="1" applyAlignment="1" applyProtection="1">
      <alignment horizontal="center" vertical="center" wrapText="1"/>
    </xf>
    <xf numFmtId="0" fontId="171" fillId="5" borderId="21" xfId="0" applyFont="1" applyFill="1" applyBorder="1" applyAlignment="1" applyProtection="1">
      <alignment horizontal="center" vertical="center" wrapText="1"/>
    </xf>
    <xf numFmtId="0" fontId="171" fillId="5" borderId="5" xfId="0" applyFont="1" applyFill="1" applyBorder="1" applyAlignment="1" applyProtection="1">
      <alignment horizontal="center" vertical="center" wrapText="1"/>
    </xf>
    <xf numFmtId="0" fontId="171" fillId="5" borderId="8" xfId="0" applyFont="1" applyFill="1" applyBorder="1" applyAlignment="1" applyProtection="1">
      <alignment horizontal="center" vertical="center" wrapText="1"/>
    </xf>
    <xf numFmtId="0" fontId="171" fillId="5" borderId="8" xfId="0" applyFont="1" applyFill="1" applyBorder="1" applyAlignment="1" applyProtection="1">
      <alignment horizontal="center" vertical="center"/>
    </xf>
    <xf numFmtId="0" fontId="171" fillId="5" borderId="9" xfId="0" applyFont="1" applyFill="1" applyBorder="1" applyAlignment="1" applyProtection="1">
      <alignment horizontal="center" vertical="center" wrapText="1"/>
    </xf>
    <xf numFmtId="0" fontId="167" fillId="5" borderId="2" xfId="0" applyFont="1" applyFill="1" applyBorder="1" applyAlignment="1">
      <alignment horizontal="center" vertical="center" wrapText="1"/>
    </xf>
    <xf numFmtId="182" fontId="81" fillId="5" borderId="0" xfId="0" applyNumberFormat="1" applyFont="1" applyFill="1" applyAlignment="1" applyProtection="1">
      <alignment horizontal="left" vertical="center"/>
    </xf>
    <xf numFmtId="0" fontId="83" fillId="5" borderId="150" xfId="0" applyFont="1" applyFill="1" applyBorder="1" applyAlignment="1" applyProtection="1">
      <alignment vertical="center" wrapText="1"/>
    </xf>
    <xf numFmtId="0" fontId="83" fillId="5" borderId="150" xfId="0" applyFont="1" applyFill="1" applyBorder="1" applyAlignment="1" applyProtection="1">
      <alignment horizontal="center" vertical="center" wrapText="1"/>
    </xf>
    <xf numFmtId="49" fontId="83" fillId="5" borderId="151" xfId="0" applyNumberFormat="1" applyFont="1" applyFill="1" applyBorder="1" applyAlignment="1" applyProtection="1">
      <alignment horizontal="center" vertical="center" wrapText="1"/>
    </xf>
    <xf numFmtId="49" fontId="83" fillId="5" borderId="150" xfId="0" applyNumberFormat="1" applyFont="1" applyFill="1" applyBorder="1" applyAlignment="1" applyProtection="1">
      <alignment horizontal="center" vertical="center" wrapText="1"/>
    </xf>
    <xf numFmtId="0" fontId="83" fillId="0" borderId="150" xfId="0" applyFont="1" applyBorder="1" applyAlignment="1" applyProtection="1">
      <alignment vertical="center" wrapText="1"/>
    </xf>
    <xf numFmtId="0" fontId="187" fillId="5" borderId="150" xfId="0" applyFont="1" applyFill="1" applyBorder="1" applyAlignment="1" applyProtection="1">
      <alignment vertical="center"/>
    </xf>
    <xf numFmtId="0" fontId="164"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22"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22" fillId="5" borderId="0" xfId="0" applyNumberFormat="1" applyFont="1" applyFill="1" applyAlignment="1" applyProtection="1">
      <alignment vertical="center"/>
      <protection locked="0"/>
    </xf>
    <xf numFmtId="0" fontId="22" fillId="0" borderId="11" xfId="0" applyFont="1" applyBorder="1" applyAlignment="1" applyProtection="1">
      <alignment horizontal="right" vertical="center" wrapText="1"/>
      <protection locked="0"/>
    </xf>
    <xf numFmtId="0" fontId="22"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90"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54" fillId="5" borderId="6" xfId="0" applyNumberFormat="1" applyFont="1" applyFill="1" applyBorder="1" applyAlignment="1" applyProtection="1">
      <alignment horizontal="center" vertical="center" wrapText="1"/>
    </xf>
    <xf numFmtId="0" fontId="154" fillId="5" borderId="6" xfId="0" applyNumberFormat="1" applyFont="1" applyFill="1" applyBorder="1" applyAlignment="1" applyProtection="1">
      <alignment horizontal="left" vertical="center" wrapText="1"/>
    </xf>
    <xf numFmtId="0" fontId="154" fillId="5" borderId="7" xfId="0" applyNumberFormat="1" applyFont="1" applyFill="1" applyBorder="1" applyAlignment="1" applyProtection="1">
      <alignment horizontal="center" vertical="center" wrapText="1"/>
    </xf>
    <xf numFmtId="10" fontId="91"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63" fillId="0" borderId="2" xfId="3" applyNumberFormat="1" applyFont="1" applyFill="1" applyBorder="1" applyAlignment="1" applyProtection="1">
      <alignment horizontal="center" vertical="center"/>
      <protection locked="0"/>
    </xf>
    <xf numFmtId="182" fontId="154" fillId="5" borderId="0" xfId="0" applyNumberFormat="1" applyFont="1" applyFill="1" applyAlignment="1" applyProtection="1">
      <alignment horizontal="center" vertical="center"/>
      <protection locked="0"/>
    </xf>
    <xf numFmtId="0" fontId="163" fillId="5" borderId="12" xfId="0" applyFont="1" applyFill="1" applyBorder="1" applyAlignment="1" applyProtection="1">
      <alignment horizontal="left" vertical="center"/>
    </xf>
    <xf numFmtId="182" fontId="111" fillId="5" borderId="6" xfId="0" applyNumberFormat="1" applyFont="1" applyFill="1" applyBorder="1" applyAlignment="1" applyProtection="1">
      <alignment horizontal="center" vertical="center"/>
    </xf>
    <xf numFmtId="182" fontId="111"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54"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50" fillId="5" borderId="2" xfId="0" applyFont="1" applyFill="1" applyBorder="1" applyProtection="1">
      <alignment vertical="center"/>
    </xf>
    <xf numFmtId="0" fontId="0" fillId="5" borderId="2" xfId="0" applyFill="1" applyBorder="1" applyAlignment="1" applyProtection="1">
      <alignment horizontal="center" vertical="center"/>
    </xf>
    <xf numFmtId="0" fontId="172" fillId="0" borderId="2" xfId="0" applyFont="1" applyBorder="1" applyAlignment="1" applyProtection="1">
      <alignment horizontal="center" vertical="center"/>
      <protection locked="0"/>
    </xf>
    <xf numFmtId="49" fontId="91"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62" fillId="14" borderId="0" xfId="10" applyFont="1" applyFill="1">
      <alignment vertical="center"/>
    </xf>
    <xf numFmtId="0" fontId="162" fillId="14" borderId="0" xfId="10" applyFont="1" applyFill="1" applyAlignment="1">
      <alignment horizontal="center" vertical="center"/>
    </xf>
    <xf numFmtId="0" fontId="162" fillId="14" borderId="122" xfId="10" applyFont="1" applyFill="1" applyBorder="1" applyAlignment="1">
      <alignment horizontal="center" vertical="center"/>
    </xf>
    <xf numFmtId="0" fontId="157" fillId="14" borderId="0" xfId="10" applyFont="1" applyFill="1" applyAlignment="1">
      <alignment horizontal="center" vertical="center"/>
    </xf>
    <xf numFmtId="10" fontId="157"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11" fillId="5" borderId="0" xfId="0" applyFont="1" applyFill="1" applyAlignment="1" applyProtection="1">
      <alignment horizontal="center" vertical="center"/>
      <protection locked="0"/>
    </xf>
    <xf numFmtId="0" fontId="57" fillId="5" borderId="10" xfId="0" applyFont="1" applyFill="1" applyBorder="1" applyAlignment="1" applyProtection="1"/>
    <xf numFmtId="10" fontId="90" fillId="5" borderId="25" xfId="0" applyNumberFormat="1" applyFont="1" applyFill="1" applyBorder="1" applyAlignment="1" applyProtection="1">
      <alignment horizontal="center"/>
    </xf>
    <xf numFmtId="0" fontId="54" fillId="5" borderId="44" xfId="0" applyFont="1" applyFill="1" applyBorder="1" applyAlignment="1" applyProtection="1">
      <alignment horizontal="left" vertical="center"/>
    </xf>
    <xf numFmtId="0" fontId="103" fillId="6" borderId="0" xfId="0" applyFont="1" applyFill="1" applyAlignment="1" applyProtection="1">
      <alignment vertical="center"/>
      <protection locked="0"/>
    </xf>
    <xf numFmtId="0" fontId="137" fillId="5" borderId="11" xfId="0" applyFont="1" applyFill="1" applyBorder="1" applyAlignment="1" applyProtection="1">
      <alignment vertical="center"/>
    </xf>
    <xf numFmtId="0" fontId="162"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8" fillId="0" borderId="43" xfId="0" applyFont="1" applyFill="1" applyBorder="1" applyAlignment="1" applyProtection="1">
      <alignment horizontal="center" vertical="center"/>
    </xf>
    <xf numFmtId="0" fontId="163" fillId="5" borderId="0" xfId="0" applyFont="1" applyFill="1" applyProtection="1">
      <alignment vertical="center"/>
    </xf>
    <xf numFmtId="0" fontId="162" fillId="16" borderId="0" xfId="10" applyFont="1" applyFill="1">
      <alignment vertical="center"/>
    </xf>
    <xf numFmtId="0" fontId="154" fillId="16" borderId="0" xfId="1" applyFont="1" applyFill="1" applyAlignment="1" applyProtection="1">
      <alignment horizontal="center" vertical="center"/>
    </xf>
    <xf numFmtId="0" fontId="22" fillId="16" borderId="0" xfId="1" applyFont="1" applyFill="1" applyAlignment="1" applyProtection="1">
      <alignment horizontal="center" vertical="center"/>
    </xf>
    <xf numFmtId="0" fontId="162" fillId="16" borderId="122" xfId="10" applyFont="1" applyFill="1" applyBorder="1" applyAlignment="1">
      <alignment horizontal="center" vertical="center"/>
    </xf>
    <xf numFmtId="0" fontId="162" fillId="16" borderId="0" xfId="10" applyFont="1" applyFill="1" applyBorder="1" applyAlignment="1">
      <alignment horizontal="center" vertical="center"/>
    </xf>
    <xf numFmtId="0" fontId="162" fillId="16" borderId="0" xfId="10" applyFont="1" applyFill="1" applyAlignment="1">
      <alignment horizontal="center" vertical="center"/>
    </xf>
    <xf numFmtId="0" fontId="157" fillId="16" borderId="0" xfId="10" applyFont="1" applyFill="1" applyAlignment="1">
      <alignment horizontal="center" vertical="center"/>
    </xf>
    <xf numFmtId="10" fontId="157" fillId="16" borderId="0" xfId="10" applyNumberFormat="1" applyFont="1" applyFill="1" applyAlignment="1">
      <alignment horizontal="center" vertical="center"/>
    </xf>
    <xf numFmtId="0" fontId="235" fillId="16" borderId="0" xfId="13" applyFont="1" applyFill="1">
      <alignment vertical="center"/>
    </xf>
    <xf numFmtId="0" fontId="162" fillId="0" borderId="0" xfId="13" applyFont="1" applyFill="1">
      <alignment vertical="center"/>
    </xf>
    <xf numFmtId="0" fontId="163"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23" fillId="6" borderId="21" xfId="0" applyFont="1" applyFill="1" applyBorder="1" applyAlignment="1" applyProtection="1">
      <alignment horizontal="left" vertical="center" wrapText="1"/>
      <protection locked="0"/>
    </xf>
    <xf numFmtId="185" fontId="162" fillId="12" borderId="120" xfId="13" applyNumberFormat="1" applyFont="1" applyFill="1" applyBorder="1" applyAlignment="1">
      <alignment horizontal="center" vertical="center" wrapText="1"/>
    </xf>
    <xf numFmtId="185" fontId="162" fillId="12" borderId="127" xfId="13" applyNumberFormat="1" applyFont="1" applyFill="1" applyBorder="1" applyAlignment="1">
      <alignment horizontal="center" vertical="center" wrapText="1"/>
    </xf>
    <xf numFmtId="0" fontId="137" fillId="5" borderId="1" xfId="0" applyFont="1" applyFill="1" applyBorder="1" applyAlignment="1" applyProtection="1">
      <alignment vertical="center"/>
    </xf>
    <xf numFmtId="49" fontId="137" fillId="5" borderId="11" xfId="0" applyNumberFormat="1" applyFont="1" applyFill="1" applyBorder="1" applyAlignment="1" applyProtection="1">
      <alignment horizontal="left" vertical="center"/>
    </xf>
    <xf numFmtId="0" fontId="137" fillId="5" borderId="43" xfId="0" applyFont="1" applyFill="1" applyBorder="1" applyAlignment="1" applyProtection="1">
      <alignment vertical="center"/>
    </xf>
    <xf numFmtId="0" fontId="137" fillId="5" borderId="33" xfId="0" applyFont="1" applyFill="1" applyBorder="1" applyAlignment="1" applyProtection="1">
      <alignment vertical="center" wrapText="1"/>
    </xf>
    <xf numFmtId="0" fontId="181" fillId="5" borderId="12" xfId="0" applyFont="1" applyFill="1" applyBorder="1" applyAlignment="1" applyProtection="1">
      <alignment horizontal="center"/>
    </xf>
    <xf numFmtId="0" fontId="111" fillId="5" borderId="12" xfId="0" applyNumberFormat="1" applyFont="1" applyFill="1" applyBorder="1" applyAlignment="1" applyProtection="1">
      <alignment horizontal="center" vertical="center"/>
    </xf>
    <xf numFmtId="0" fontId="137" fillId="5" borderId="1" xfId="0" applyFont="1" applyFill="1" applyBorder="1" applyAlignment="1" applyProtection="1">
      <alignment horizontal="left" vertical="center"/>
    </xf>
    <xf numFmtId="0" fontId="153" fillId="5" borderId="11" xfId="0" applyFont="1" applyFill="1" applyBorder="1" applyAlignment="1" applyProtection="1">
      <alignment horizontal="left"/>
    </xf>
    <xf numFmtId="0" fontId="164" fillId="5" borderId="11" xfId="0" applyFont="1" applyFill="1" applyBorder="1" applyAlignment="1" applyProtection="1">
      <alignment horizontal="left"/>
    </xf>
    <xf numFmtId="0" fontId="159" fillId="5" borderId="82" xfId="0" applyFont="1" applyFill="1" applyBorder="1" applyAlignment="1" applyProtection="1">
      <alignment horizontal="center" vertical="center"/>
    </xf>
    <xf numFmtId="0" fontId="111" fillId="5" borderId="7" xfId="0" applyFont="1" applyFill="1" applyBorder="1" applyAlignment="1" applyProtection="1">
      <alignment horizontal="center" vertical="center"/>
    </xf>
    <xf numFmtId="193" fontId="111" fillId="5" borderId="12" xfId="0" applyNumberFormat="1" applyFont="1" applyFill="1" applyBorder="1" applyAlignment="1" applyProtection="1">
      <alignment horizontal="center" vertical="center"/>
    </xf>
    <xf numFmtId="0" fontId="111" fillId="8" borderId="0" xfId="0" applyFont="1" applyFill="1" applyAlignment="1" applyProtection="1">
      <alignment vertical="center"/>
    </xf>
    <xf numFmtId="0" fontId="111"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7" fillId="5" borderId="50" xfId="0" applyFont="1" applyFill="1" applyBorder="1" applyAlignment="1" applyProtection="1">
      <alignment vertical="center" wrapText="1"/>
    </xf>
    <xf numFmtId="0" fontId="137" fillId="5" borderId="11" xfId="0" applyFont="1" applyFill="1" applyBorder="1" applyAlignment="1" applyProtection="1">
      <alignment vertical="center" wrapText="1"/>
    </xf>
    <xf numFmtId="0" fontId="111"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11"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7" fillId="5" borderId="2" xfId="0" applyFont="1" applyFill="1" applyBorder="1" applyAlignment="1" applyProtection="1"/>
    <xf numFmtId="0" fontId="137" fillId="5" borderId="2" xfId="0" applyFont="1" applyFill="1" applyBorder="1" applyAlignment="1" applyProtection="1">
      <alignment horizontal="center"/>
    </xf>
    <xf numFmtId="0" fontId="137" fillId="5" borderId="2" xfId="0" applyFont="1" applyFill="1" applyBorder="1" applyAlignment="1" applyProtection="1">
      <alignment horizontal="center" vertical="center"/>
    </xf>
    <xf numFmtId="9" fontId="111" fillId="5" borderId="2" xfId="0" applyNumberFormat="1" applyFont="1" applyFill="1" applyBorder="1" applyAlignment="1" applyProtection="1">
      <alignment horizontal="center" vertical="center"/>
    </xf>
    <xf numFmtId="0" fontId="111" fillId="6" borderId="0" xfId="0" applyFont="1" applyFill="1" applyAlignment="1" applyProtection="1">
      <alignment horizontal="center" vertical="center"/>
      <protection locked="0"/>
    </xf>
    <xf numFmtId="0" fontId="174" fillId="0" borderId="0" xfId="7" applyFont="1" applyAlignment="1">
      <alignment horizontal="left" vertical="center"/>
    </xf>
    <xf numFmtId="14" fontId="174" fillId="0" borderId="0" xfId="7" applyNumberFormat="1" applyFont="1" applyAlignment="1">
      <alignment horizontal="left" vertical="center"/>
    </xf>
    <xf numFmtId="0" fontId="175" fillId="0" borderId="0" xfId="7" applyFont="1" applyAlignment="1">
      <alignment horizontal="left" vertical="center"/>
    </xf>
    <xf numFmtId="0" fontId="169" fillId="0" borderId="0" xfId="7" applyFont="1" applyAlignment="1">
      <alignment horizontal="left" vertical="center"/>
    </xf>
    <xf numFmtId="0" fontId="277" fillId="0" borderId="10" xfId="7" applyFont="1" applyFill="1" applyBorder="1" applyAlignment="1">
      <alignment horizontal="left" vertical="center"/>
    </xf>
    <xf numFmtId="0" fontId="277" fillId="0" borderId="2" xfId="7" applyFont="1" applyFill="1" applyBorder="1" applyAlignment="1">
      <alignment horizontal="left" vertical="center"/>
    </xf>
    <xf numFmtId="0" fontId="277" fillId="0" borderId="5" xfId="7" applyFont="1" applyFill="1" applyBorder="1" applyAlignment="1">
      <alignment horizontal="left" vertical="center"/>
    </xf>
    <xf numFmtId="191" fontId="277" fillId="0" borderId="2" xfId="7" applyNumberFormat="1" applyFont="1" applyFill="1" applyBorder="1" applyAlignment="1">
      <alignment horizontal="left" vertical="center"/>
    </xf>
    <xf numFmtId="184" fontId="277" fillId="0" borderId="2" xfId="7" applyNumberFormat="1" applyFont="1" applyFill="1" applyBorder="1" applyAlignment="1">
      <alignment horizontal="left" vertical="center"/>
    </xf>
    <xf numFmtId="191" fontId="277" fillId="0" borderId="5" xfId="7" applyNumberFormat="1" applyFont="1" applyFill="1" applyBorder="1" applyAlignment="1">
      <alignment horizontal="left" vertical="center"/>
    </xf>
    <xf numFmtId="0" fontId="277" fillId="0" borderId="153" xfId="7" applyFont="1" applyFill="1" applyBorder="1" applyAlignment="1">
      <alignment horizontal="left" vertical="center"/>
    </xf>
    <xf numFmtId="184" fontId="277" fillId="0" borderId="10" xfId="7" applyNumberFormat="1" applyFont="1" applyFill="1" applyBorder="1" applyAlignment="1">
      <alignment horizontal="left" vertical="center"/>
    </xf>
    <xf numFmtId="191" fontId="277" fillId="0" borderId="10" xfId="7" applyNumberFormat="1" applyFont="1" applyFill="1" applyBorder="1" applyAlignment="1">
      <alignment horizontal="left" vertical="center"/>
    </xf>
    <xf numFmtId="0" fontId="169" fillId="0" borderId="0" xfId="7" applyFont="1" applyFill="1" applyAlignment="1">
      <alignment horizontal="left" vertical="center"/>
    </xf>
    <xf numFmtId="0" fontId="278" fillId="0" borderId="2" xfId="7" applyFont="1" applyFill="1" applyBorder="1" applyAlignment="1">
      <alignment horizontal="left" vertical="center"/>
    </xf>
    <xf numFmtId="0" fontId="277" fillId="0" borderId="2" xfId="7" applyFont="1" applyBorder="1" applyAlignment="1">
      <alignment horizontal="left" vertical="center"/>
    </xf>
    <xf numFmtId="0" fontId="174" fillId="0" borderId="2" xfId="7" applyFont="1" applyBorder="1" applyAlignment="1">
      <alignment horizontal="left" vertical="center"/>
    </xf>
    <xf numFmtId="184" fontId="277" fillId="0" borderId="2" xfId="0" applyNumberFormat="1" applyFont="1" applyFill="1" applyBorder="1" applyAlignment="1">
      <alignment horizontal="left" vertical="center"/>
    </xf>
    <xf numFmtId="14" fontId="174" fillId="0" borderId="2" xfId="7" applyNumberFormat="1" applyFont="1" applyBorder="1" applyAlignment="1">
      <alignment horizontal="left" vertical="center"/>
    </xf>
    <xf numFmtId="14" fontId="169" fillId="0" borderId="0" xfId="7" applyNumberFormat="1" applyFont="1" applyAlignment="1">
      <alignment horizontal="left" vertical="center"/>
    </xf>
    <xf numFmtId="182" fontId="157" fillId="5" borderId="2" xfId="0" applyNumberFormat="1" applyFont="1" applyFill="1" applyBorder="1" applyAlignment="1" applyProtection="1">
      <alignment horizontal="center" vertical="center" wrapText="1"/>
    </xf>
    <xf numFmtId="0" fontId="132" fillId="5" borderId="2" xfId="0" applyFont="1" applyFill="1" applyBorder="1" applyAlignment="1" applyProtection="1">
      <alignment vertical="center" wrapText="1"/>
    </xf>
    <xf numFmtId="0" fontId="52" fillId="5" borderId="0" xfId="3" applyFont="1" applyFill="1" applyBorder="1" applyAlignment="1" applyProtection="1">
      <alignment vertical="center" wrapText="1"/>
    </xf>
    <xf numFmtId="0" fontId="63" fillId="5" borderId="0" xfId="3" applyFont="1" applyFill="1" applyBorder="1" applyAlignment="1" applyProtection="1">
      <alignment vertical="center" wrapText="1"/>
    </xf>
    <xf numFmtId="0" fontId="189" fillId="5" borderId="0" xfId="3" applyFont="1" applyFill="1" applyBorder="1" applyAlignment="1" applyProtection="1">
      <alignment vertical="center"/>
    </xf>
    <xf numFmtId="0" fontId="91" fillId="5" borderId="0" xfId="3" applyFont="1" applyFill="1" applyBorder="1" applyAlignment="1" applyProtection="1">
      <alignment horizontal="center" vertical="center" wrapText="1"/>
    </xf>
    <xf numFmtId="0" fontId="89" fillId="5" borderId="0" xfId="3" applyFont="1" applyFill="1" applyBorder="1" applyAlignment="1" applyProtection="1">
      <alignment horizontal="center" vertical="center" wrapText="1"/>
    </xf>
    <xf numFmtId="0" fontId="89" fillId="5" borderId="0" xfId="3" applyFont="1" applyFill="1" applyBorder="1" applyAlignment="1" applyProtection="1">
      <alignment vertical="center" wrapText="1"/>
    </xf>
    <xf numFmtId="0" fontId="170" fillId="5" borderId="0" xfId="3" applyFont="1" applyFill="1" applyBorder="1" applyAlignment="1" applyProtection="1">
      <alignment vertical="center"/>
    </xf>
    <xf numFmtId="0" fontId="45" fillId="5" borderId="0" xfId="3" applyFont="1" applyFill="1" applyBorder="1" applyAlignment="1" applyProtection="1">
      <alignment vertical="center"/>
    </xf>
    <xf numFmtId="0" fontId="45" fillId="5" borderId="0" xfId="3" applyFont="1" applyFill="1" applyBorder="1" applyAlignment="1" applyProtection="1">
      <alignment horizontal="center" vertical="center" wrapText="1"/>
    </xf>
    <xf numFmtId="10" fontId="89" fillId="0" borderId="2" xfId="3" applyNumberFormat="1" applyFont="1" applyFill="1" applyBorder="1" applyAlignment="1" applyProtection="1">
      <alignment horizontal="center" vertical="center" wrapText="1"/>
      <protection locked="0"/>
    </xf>
    <xf numFmtId="0" fontId="111" fillId="5" borderId="45" xfId="0" applyFont="1" applyFill="1" applyBorder="1" applyAlignment="1" applyProtection="1">
      <alignment horizontal="center" vertical="center" wrapText="1"/>
    </xf>
    <xf numFmtId="0" fontId="149" fillId="5" borderId="43" xfId="3" applyFont="1" applyFill="1" applyBorder="1" applyAlignment="1" applyProtection="1">
      <alignment horizontal="center" vertical="center" wrapText="1"/>
      <protection locked="0"/>
    </xf>
    <xf numFmtId="0" fontId="89" fillId="5" borderId="44" xfId="3" applyFont="1" applyFill="1" applyBorder="1" applyAlignment="1" applyProtection="1">
      <alignment vertical="center" wrapText="1"/>
      <protection locked="0"/>
    </xf>
    <xf numFmtId="0" fontId="91" fillId="0" borderId="10" xfId="3" applyFont="1" applyFill="1" applyBorder="1" applyAlignment="1" applyProtection="1">
      <alignment horizontal="center" vertical="center" wrapText="1"/>
      <protection locked="0"/>
    </xf>
    <xf numFmtId="0" fontId="91" fillId="0" borderId="25" xfId="3" applyFont="1" applyFill="1" applyBorder="1" applyAlignment="1" applyProtection="1">
      <alignment horizontal="center" vertical="center" wrapText="1"/>
      <protection locked="0"/>
    </xf>
    <xf numFmtId="0" fontId="63" fillId="5" borderId="65" xfId="3" applyFont="1" applyFill="1" applyBorder="1" applyAlignment="1" applyProtection="1">
      <alignment vertical="center" wrapText="1"/>
    </xf>
    <xf numFmtId="0" fontId="45" fillId="5" borderId="0" xfId="3" applyFont="1" applyFill="1" applyBorder="1" applyAlignment="1" applyProtection="1">
      <alignment horizontal="center" vertical="center" wrapText="1"/>
      <protection locked="0"/>
    </xf>
    <xf numFmtId="0" fontId="91" fillId="5" borderId="0" xfId="3" applyFont="1" applyFill="1" applyBorder="1" applyAlignment="1" applyProtection="1">
      <alignment horizontal="center" vertical="center" wrapText="1"/>
      <protection locked="0"/>
    </xf>
    <xf numFmtId="0" fontId="169" fillId="5" borderId="2" xfId="0" applyFont="1" applyFill="1" applyBorder="1" applyAlignment="1" applyProtection="1">
      <alignment horizontal="center" vertical="center" wrapText="1"/>
    </xf>
    <xf numFmtId="0" fontId="45" fillId="5" borderId="44" xfId="3" applyFont="1" applyFill="1" applyBorder="1" applyAlignment="1" applyProtection="1">
      <alignment horizontal="center" vertical="center" wrapText="1"/>
    </xf>
    <xf numFmtId="0" fontId="45" fillId="6" borderId="44" xfId="3" applyFont="1" applyFill="1" applyBorder="1" applyAlignment="1" applyProtection="1">
      <alignment horizontal="right" vertical="center" wrapText="1"/>
      <protection locked="0"/>
    </xf>
    <xf numFmtId="0" fontId="170" fillId="5" borderId="3" xfId="3" applyFont="1" applyFill="1" applyBorder="1" applyAlignment="1" applyProtection="1">
      <alignment horizontal="left" vertical="center" wrapText="1"/>
    </xf>
    <xf numFmtId="0" fontId="62" fillId="5" borderId="3" xfId="3" applyFont="1" applyFill="1" applyBorder="1" applyAlignment="1" applyProtection="1">
      <alignment horizontal="left" vertical="center" wrapText="1"/>
    </xf>
    <xf numFmtId="0" fontId="88" fillId="5" borderId="13" xfId="3" applyFont="1" applyFill="1" applyBorder="1" applyAlignment="1" applyProtection="1">
      <alignment horizontal="center" vertical="center" wrapText="1"/>
    </xf>
    <xf numFmtId="0" fontId="45" fillId="5" borderId="13" xfId="3" applyFont="1" applyFill="1" applyBorder="1" applyAlignment="1" applyProtection="1">
      <alignment vertical="center"/>
    </xf>
    <xf numFmtId="0" fontId="62" fillId="5" borderId="0" xfId="3" applyFont="1" applyFill="1" applyBorder="1" applyAlignment="1" applyProtection="1">
      <alignment horizontal="center" vertical="center" wrapText="1"/>
    </xf>
    <xf numFmtId="0" fontId="45" fillId="6" borderId="7" xfId="3" applyFont="1" applyFill="1" applyBorder="1" applyAlignment="1" applyProtection="1">
      <alignment horizontal="center" vertical="center" wrapText="1"/>
      <protection locked="0"/>
    </xf>
    <xf numFmtId="0" fontId="45" fillId="5" borderId="44" xfId="3" applyFont="1" applyFill="1" applyBorder="1" applyAlignment="1" applyProtection="1">
      <alignment horizontal="left" vertical="center"/>
    </xf>
    <xf numFmtId="0" fontId="91" fillId="5" borderId="55" xfId="3"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wrapText="1"/>
    </xf>
    <xf numFmtId="0" fontId="91" fillId="5" borderId="46" xfId="3" applyFont="1" applyFill="1" applyBorder="1" applyAlignment="1" applyProtection="1">
      <alignment horizontal="center" vertical="center" wrapText="1"/>
    </xf>
    <xf numFmtId="185" fontId="162" fillId="12" borderId="120" xfId="13" applyNumberFormat="1" applyFont="1" applyFill="1" applyBorder="1" applyAlignment="1" applyProtection="1">
      <alignment horizontal="center" vertical="center" wrapText="1"/>
    </xf>
    <xf numFmtId="185" fontId="162" fillId="12" borderId="127" xfId="13" applyNumberFormat="1" applyFont="1" applyFill="1" applyBorder="1" applyAlignment="1" applyProtection="1">
      <alignment horizontal="center" vertical="center" wrapText="1"/>
    </xf>
    <xf numFmtId="0" fontId="111" fillId="17" borderId="83" xfId="0" applyFont="1" applyFill="1" applyBorder="1" applyAlignment="1" applyProtection="1">
      <alignment horizontal="center" vertical="center"/>
    </xf>
    <xf numFmtId="0" fontId="5" fillId="6" borderId="0" xfId="16" applyFill="1"/>
    <xf numFmtId="0" fontId="5" fillId="0" borderId="0" xfId="16"/>
    <xf numFmtId="0" fontId="91" fillId="0" borderId="0" xfId="17"/>
    <xf numFmtId="0" fontId="91" fillId="6" borderId="0" xfId="17" applyFill="1"/>
    <xf numFmtId="0" fontId="279" fillId="0" borderId="6" xfId="0" applyNumberFormat="1" applyFont="1" applyFill="1" applyBorder="1" applyAlignment="1" applyProtection="1">
      <alignment horizontal="center" vertical="center" wrapText="1"/>
      <protection locked="0"/>
    </xf>
    <xf numFmtId="0" fontId="280" fillId="0" borderId="74" xfId="0" applyNumberFormat="1" applyFont="1" applyFill="1" applyBorder="1" applyAlignment="1" applyProtection="1">
      <alignment horizontal="center" vertical="center" wrapText="1"/>
      <protection locked="0"/>
    </xf>
    <xf numFmtId="0" fontId="281" fillId="8" borderId="5" xfId="0" applyFont="1" applyFill="1" applyBorder="1" applyAlignment="1" applyProtection="1">
      <alignment vertical="center"/>
      <protection locked="0"/>
    </xf>
    <xf numFmtId="0" fontId="281" fillId="8" borderId="19" xfId="0" applyFont="1" applyFill="1" applyBorder="1" applyAlignment="1" applyProtection="1">
      <alignment vertical="center" wrapText="1"/>
      <protection locked="0"/>
    </xf>
    <xf numFmtId="0" fontId="83" fillId="8" borderId="8" xfId="0" applyFont="1" applyFill="1" applyBorder="1" applyAlignment="1" applyProtection="1">
      <alignment vertical="center"/>
      <protection locked="0"/>
    </xf>
    <xf numFmtId="0" fontId="264" fillId="0" borderId="2" xfId="0" applyFont="1" applyBorder="1" applyAlignment="1" applyProtection="1">
      <alignment horizontal="center" vertical="center" wrapText="1"/>
      <protection locked="0"/>
    </xf>
    <xf numFmtId="49" fontId="283" fillId="0" borderId="7" xfId="0" applyNumberFormat="1" applyFont="1" applyFill="1" applyBorder="1" applyAlignment="1" applyProtection="1">
      <alignment horizontal="center" vertical="center" wrapText="1"/>
      <protection locked="0"/>
    </xf>
    <xf numFmtId="0" fontId="284" fillId="0" borderId="12" xfId="0" applyFont="1" applyBorder="1" applyAlignment="1" applyProtection="1">
      <alignment horizontal="center" vertical="center" wrapText="1"/>
      <protection locked="0"/>
    </xf>
    <xf numFmtId="0" fontId="284" fillId="0" borderId="46" xfId="0" applyFont="1" applyBorder="1" applyAlignment="1" applyProtection="1">
      <alignment horizontal="center" vertical="center"/>
      <protection locked="0"/>
    </xf>
    <xf numFmtId="49" fontId="279" fillId="0" borderId="18" xfId="0" applyNumberFormat="1" applyFont="1" applyFill="1" applyBorder="1" applyAlignment="1" applyProtection="1">
      <alignment horizontal="center" vertical="center" wrapText="1"/>
      <protection locked="0"/>
    </xf>
    <xf numFmtId="0" fontId="279" fillId="0" borderId="74" xfId="0" applyNumberFormat="1" applyFont="1" applyFill="1" applyBorder="1" applyAlignment="1" applyProtection="1">
      <alignment horizontal="center" vertical="center" wrapText="1"/>
      <protection locked="0"/>
    </xf>
    <xf numFmtId="0" fontId="285" fillId="0" borderId="74" xfId="0" applyNumberFormat="1" applyFont="1" applyFill="1" applyBorder="1" applyAlignment="1" applyProtection="1">
      <alignment horizontal="center" vertical="center" wrapText="1"/>
      <protection locked="0"/>
    </xf>
    <xf numFmtId="0" fontId="91" fillId="0" borderId="0" xfId="17" applyFill="1"/>
    <xf numFmtId="0" fontId="287" fillId="6" borderId="0" xfId="17" applyFont="1" applyFill="1"/>
    <xf numFmtId="0" fontId="5" fillId="0" borderId="2" xfId="16" applyBorder="1" applyAlignment="1">
      <alignment horizontal="center"/>
    </xf>
    <xf numFmtId="49" fontId="5" fillId="0" borderId="2" xfId="16" applyNumberFormat="1" applyBorder="1" applyAlignment="1">
      <alignment horizontal="center"/>
    </xf>
    <xf numFmtId="0" fontId="5" fillId="18" borderId="2" xfId="16" applyFill="1" applyBorder="1" applyAlignment="1">
      <alignment horizontal="center"/>
    </xf>
    <xf numFmtId="0" fontId="5" fillId="19" borderId="0" xfId="16" applyFill="1"/>
    <xf numFmtId="0" fontId="264" fillId="0" borderId="2" xfId="0" applyFont="1" applyBorder="1" applyAlignment="1" applyProtection="1">
      <alignment vertical="center" wrapText="1"/>
      <protection locked="0"/>
    </xf>
    <xf numFmtId="49" fontId="284" fillId="0" borderId="12" xfId="0" applyNumberFormat="1" applyFont="1" applyFill="1" applyBorder="1" applyAlignment="1" applyProtection="1">
      <alignment horizontal="center" vertical="center" wrapText="1"/>
      <protection locked="0"/>
    </xf>
    <xf numFmtId="0" fontId="150" fillId="0" borderId="0" xfId="0" applyFont="1">
      <alignment vertical="center"/>
    </xf>
    <xf numFmtId="0" fontId="285" fillId="0" borderId="0" xfId="0" applyFont="1" applyAlignment="1" applyProtection="1">
      <alignment horizontal="center" vertical="center" wrapText="1"/>
      <protection locked="0"/>
    </xf>
    <xf numFmtId="0" fontId="4" fillId="0" borderId="0" xfId="16" applyFont="1"/>
    <xf numFmtId="0" fontId="5" fillId="0" borderId="2" xfId="16" applyBorder="1" applyAlignment="1">
      <alignment horizontal="left"/>
    </xf>
    <xf numFmtId="0" fontId="3" fillId="0" borderId="0" xfId="16" applyFont="1"/>
    <xf numFmtId="0" fontId="81" fillId="5" borderId="2" xfId="0" applyFont="1" applyFill="1" applyBorder="1" applyAlignment="1" applyProtection="1">
      <alignment horizontal="left" vertical="center" wrapText="1"/>
    </xf>
    <xf numFmtId="0" fontId="81" fillId="5" borderId="5" xfId="0" applyFont="1" applyFill="1" applyBorder="1" applyAlignment="1" applyProtection="1">
      <alignment horizontal="left" vertical="center" wrapText="1"/>
    </xf>
    <xf numFmtId="0" fontId="81" fillId="5" borderId="8" xfId="0" applyFont="1" applyFill="1" applyBorder="1" applyAlignment="1" applyProtection="1">
      <alignment horizontal="left" vertical="center" wrapText="1"/>
    </xf>
    <xf numFmtId="0" fontId="81" fillId="5" borderId="19" xfId="0" applyFont="1" applyFill="1" applyBorder="1" applyAlignment="1" applyProtection="1">
      <alignment horizontal="center" vertical="center"/>
    </xf>
    <xf numFmtId="0" fontId="81" fillId="5" borderId="8"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xf>
    <xf numFmtId="0" fontId="2" fillId="0" borderId="0" xfId="16" applyFont="1"/>
    <xf numFmtId="0" fontId="2" fillId="6" borderId="0" xfId="16" applyFont="1" applyFill="1"/>
    <xf numFmtId="0" fontId="151" fillId="0" borderId="0" xfId="16" applyFont="1"/>
    <xf numFmtId="0" fontId="1" fillId="0" borderId="0" xfId="16" applyFont="1"/>
    <xf numFmtId="0" fontId="5" fillId="0" borderId="2" xfId="16" applyBorder="1"/>
    <xf numFmtId="0" fontId="1" fillId="0" borderId="2" xfId="16" applyFont="1" applyBorder="1"/>
    <xf numFmtId="0" fontId="2" fillId="0" borderId="2" xfId="16" applyFont="1" applyBorder="1"/>
    <xf numFmtId="0" fontId="1" fillId="0" borderId="2" xfId="16" applyFont="1" applyBorder="1" applyAlignment="1">
      <alignment horizontal="left"/>
    </xf>
    <xf numFmtId="0" fontId="1" fillId="0" borderId="10" xfId="16" applyFont="1" applyBorder="1" applyAlignment="1">
      <alignment vertical="center"/>
    </xf>
    <xf numFmtId="0" fontId="5" fillId="0" borderId="2" xfId="16" applyBorder="1" applyAlignment="1">
      <alignment vertical="center"/>
    </xf>
    <xf numFmtId="0" fontId="1" fillId="0" borderId="2" xfId="16" applyFont="1" applyBorder="1" applyAlignment="1">
      <alignment vertical="center"/>
    </xf>
    <xf numFmtId="0" fontId="1" fillId="0" borderId="2" xfId="16" applyFont="1" applyBorder="1" applyAlignment="1">
      <alignment horizontal="left" vertical="center"/>
    </xf>
    <xf numFmtId="0" fontId="151" fillId="0" borderId="2" xfId="16" applyFont="1" applyBorder="1" applyAlignment="1">
      <alignment horizontal="left"/>
    </xf>
    <xf numFmtId="0" fontId="151" fillId="0" borderId="2" xfId="16" applyFont="1" applyBorder="1" applyAlignment="1">
      <alignment horizontal="left" vertical="center"/>
    </xf>
    <xf numFmtId="0" fontId="151" fillId="0" borderId="0" xfId="16" applyFont="1" applyAlignment="1">
      <alignment horizontal="left"/>
    </xf>
    <xf numFmtId="0" fontId="2" fillId="0" borderId="2" xfId="16" applyFont="1" applyBorder="1" applyAlignment="1">
      <alignment vertical="center"/>
    </xf>
    <xf numFmtId="0" fontId="151" fillId="0" borderId="2" xfId="16" applyFont="1" applyBorder="1" applyAlignment="1">
      <alignment vertical="center"/>
    </xf>
    <xf numFmtId="10" fontId="5" fillId="0" borderId="2" xfId="16" applyNumberFormat="1" applyBorder="1" applyAlignment="1">
      <alignment vertical="center"/>
    </xf>
    <xf numFmtId="0" fontId="5" fillId="0" borderId="0" xfId="16" applyBorder="1" applyAlignment="1">
      <alignment horizontal="left"/>
    </xf>
    <xf numFmtId="0" fontId="151" fillId="0" borderId="0" xfId="16" applyFont="1" applyBorder="1" applyAlignment="1">
      <alignment horizontal="left"/>
    </xf>
    <xf numFmtId="0" fontId="5" fillId="0" borderId="2" xfId="16" applyBorder="1" applyAlignment="1">
      <alignment horizontal="left" vertical="center"/>
    </xf>
    <xf numFmtId="0" fontId="5" fillId="0" borderId="10" xfId="16" applyBorder="1" applyAlignment="1">
      <alignment vertical="center"/>
    </xf>
    <xf numFmtId="0" fontId="151" fillId="0" borderId="2" xfId="16" applyFont="1" applyBorder="1"/>
    <xf numFmtId="0" fontId="151" fillId="6" borderId="0" xfId="16" applyFont="1" applyFill="1" applyAlignment="1">
      <alignment horizontal="left"/>
    </xf>
    <xf numFmtId="0" fontId="1" fillId="0" borderId="0" xfId="16" applyFont="1" applyBorder="1" applyAlignment="1">
      <alignment horizontal="left"/>
    </xf>
    <xf numFmtId="0" fontId="5" fillId="0" borderId="0" xfId="16" applyBorder="1" applyAlignment="1">
      <alignment vertical="center"/>
    </xf>
    <xf numFmtId="0" fontId="151" fillId="0" borderId="0" xfId="16" applyFont="1" applyBorder="1" applyAlignment="1">
      <alignment vertical="center"/>
    </xf>
    <xf numFmtId="0" fontId="5" fillId="0" borderId="0" xfId="16" applyBorder="1" applyAlignment="1">
      <alignment horizontal="left" vertical="center"/>
    </xf>
    <xf numFmtId="0" fontId="151" fillId="0" borderId="0" xfId="16" applyFont="1" applyBorder="1" applyAlignment="1">
      <alignment horizontal="left" vertical="center"/>
    </xf>
    <xf numFmtId="0" fontId="288" fillId="0" borderId="2" xfId="0" applyFont="1" applyBorder="1" applyAlignment="1" applyProtection="1">
      <alignment vertical="center" wrapText="1"/>
      <protection locked="0"/>
    </xf>
    <xf numFmtId="0" fontId="280" fillId="0" borderId="21" xfId="0" applyFont="1" applyBorder="1" applyAlignment="1" applyProtection="1">
      <alignment horizontal="center" vertical="center" wrapText="1"/>
      <protection locked="0"/>
    </xf>
    <xf numFmtId="0" fontId="289" fillId="0" borderId="2" xfId="1" applyFont="1" applyBorder="1" applyAlignment="1" applyProtection="1">
      <alignment horizontal="center" vertical="center" wrapText="1"/>
      <protection locked="0"/>
    </xf>
    <xf numFmtId="0" fontId="291" fillId="0" borderId="2" xfId="0" applyFont="1" applyBorder="1" applyAlignment="1" applyProtection="1">
      <alignment horizontal="center" vertical="center"/>
      <protection locked="0"/>
    </xf>
    <xf numFmtId="0" fontId="280" fillId="0" borderId="59" xfId="0" applyNumberFormat="1" applyFont="1" applyFill="1" applyBorder="1" applyAlignment="1" applyProtection="1">
      <alignment horizontal="center" vertical="center" wrapText="1"/>
      <protection locked="0"/>
    </xf>
    <xf numFmtId="0" fontId="280" fillId="0" borderId="50" xfId="0" applyNumberFormat="1" applyFont="1" applyFill="1" applyBorder="1" applyAlignment="1" applyProtection="1">
      <alignment horizontal="center" vertical="center" wrapText="1"/>
      <protection locked="0"/>
    </xf>
    <xf numFmtId="49" fontId="280" fillId="0" borderId="20" xfId="0" applyNumberFormat="1" applyFont="1" applyFill="1" applyBorder="1" applyAlignment="1" applyProtection="1">
      <alignment horizontal="center" vertical="center" wrapText="1"/>
      <protection locked="0"/>
    </xf>
    <xf numFmtId="0" fontId="280" fillId="0" borderId="78" xfId="0" applyNumberFormat="1" applyFont="1" applyFill="1" applyBorder="1" applyAlignment="1" applyProtection="1">
      <alignment horizontal="center" vertical="center"/>
      <protection locked="0"/>
    </xf>
    <xf numFmtId="0" fontId="1" fillId="6" borderId="0" xfId="16" applyFont="1" applyFill="1"/>
    <xf numFmtId="177" fontId="16" fillId="9" borderId="2" xfId="0" applyNumberFormat="1" applyFont="1" applyFill="1" applyBorder="1" applyAlignment="1" applyProtection="1">
      <alignment vertical="center" wrapText="1"/>
      <protection locked="0"/>
    </xf>
    <xf numFmtId="0" fontId="5" fillId="9" borderId="0" xfId="16" applyFill="1"/>
    <xf numFmtId="177" fontId="81" fillId="9" borderId="2" xfId="0" applyNumberFormat="1" applyFont="1" applyFill="1" applyBorder="1" applyAlignment="1" applyProtection="1">
      <alignment vertical="center" wrapText="1"/>
      <protection locked="0"/>
    </xf>
    <xf numFmtId="177" fontId="76" fillId="9" borderId="2" xfId="0" applyNumberFormat="1" applyFont="1" applyFill="1" applyBorder="1" applyAlignment="1" applyProtection="1">
      <alignment horizontal="center" vertical="center" wrapText="1"/>
      <protection locked="0"/>
    </xf>
    <xf numFmtId="0" fontId="113" fillId="9" borderId="30" xfId="0" applyFont="1" applyFill="1" applyBorder="1" applyAlignment="1" applyProtection="1">
      <alignment vertical="center" wrapText="1"/>
      <protection locked="0"/>
    </xf>
    <xf numFmtId="0" fontId="76" fillId="9" borderId="11" xfId="0" applyNumberFormat="1" applyFont="1" applyFill="1" applyBorder="1" applyAlignment="1" applyProtection="1">
      <alignment horizontal="center" vertical="center" wrapText="1"/>
      <protection locked="0"/>
    </xf>
    <xf numFmtId="0" fontId="76" fillId="9" borderId="29" xfId="0" applyFont="1" applyFill="1" applyBorder="1" applyAlignment="1" applyProtection="1">
      <alignment horizontal="center" vertical="center" wrapText="1"/>
    </xf>
    <xf numFmtId="0" fontId="292" fillId="13" borderId="157" xfId="0" applyFont="1" applyFill="1" applyBorder="1">
      <alignment vertical="center"/>
    </xf>
    <xf numFmtId="0" fontId="293" fillId="13" borderId="157" xfId="0" applyFont="1" applyFill="1" applyBorder="1">
      <alignment vertical="center"/>
    </xf>
    <xf numFmtId="0" fontId="296" fillId="13" borderId="157" xfId="0" applyFont="1" applyFill="1" applyBorder="1">
      <alignment vertical="center"/>
    </xf>
    <xf numFmtId="0" fontId="293" fillId="0" borderId="160" xfId="0" applyFont="1" applyBorder="1" applyAlignment="1">
      <alignment vertical="center" wrapText="1"/>
    </xf>
    <xf numFmtId="0" fontId="76" fillId="5" borderId="2" xfId="0" applyFont="1" applyFill="1" applyBorder="1" applyAlignment="1" applyProtection="1">
      <alignment horizontal="center" vertical="center"/>
    </xf>
    <xf numFmtId="0" fontId="76" fillId="5" borderId="2" xfId="0" applyFont="1" applyFill="1" applyBorder="1" applyAlignment="1" applyProtection="1">
      <alignment horizontal="center" vertical="center" wrapText="1"/>
    </xf>
    <xf numFmtId="0" fontId="89" fillId="5" borderId="2" xfId="0" applyFont="1" applyFill="1" applyBorder="1" applyAlignment="1" applyProtection="1">
      <alignment horizontal="center" vertical="center" wrapText="1"/>
    </xf>
    <xf numFmtId="0" fontId="89" fillId="5" borderId="2" xfId="0" applyFont="1" applyFill="1" applyBorder="1" applyAlignment="1" applyProtection="1">
      <alignment horizontal="center" vertical="center"/>
    </xf>
    <xf numFmtId="0" fontId="89" fillId="5" borderId="3" xfId="0" applyFont="1" applyFill="1" applyBorder="1" applyAlignment="1" applyProtection="1">
      <alignment horizontal="center" vertical="center"/>
    </xf>
    <xf numFmtId="0" fontId="89" fillId="5" borderId="2" xfId="0" applyNumberFormat="1" applyFont="1" applyFill="1" applyBorder="1" applyAlignment="1" applyProtection="1">
      <alignment horizontal="center" vertical="center"/>
    </xf>
    <xf numFmtId="180" fontId="91" fillId="0" borderId="0" xfId="17" applyNumberFormat="1" applyFill="1"/>
    <xf numFmtId="180" fontId="91" fillId="6" borderId="0" xfId="17" applyNumberFormat="1" applyFill="1"/>
    <xf numFmtId="180" fontId="91" fillId="0" borderId="0" xfId="17" applyNumberFormat="1"/>
    <xf numFmtId="0" fontId="91" fillId="0" borderId="0" xfId="17" applyAlignment="1">
      <alignment horizontal="right"/>
    </xf>
    <xf numFmtId="0" fontId="91" fillId="0" borderId="0" xfId="17" applyFill="1" applyAlignment="1">
      <alignment horizontal="right"/>
    </xf>
    <xf numFmtId="0" fontId="91" fillId="6" borderId="0" xfId="17" applyFill="1" applyAlignment="1">
      <alignment horizontal="right"/>
    </xf>
    <xf numFmtId="0" fontId="5" fillId="17" borderId="2" xfId="16" applyFill="1" applyBorder="1" applyAlignment="1">
      <alignment horizontal="left"/>
    </xf>
    <xf numFmtId="185" fontId="81" fillId="17" borderId="2" xfId="0" applyNumberFormat="1" applyFont="1" applyFill="1" applyBorder="1" applyAlignment="1" applyProtection="1">
      <alignment horizontal="center" vertical="center"/>
      <protection locked="0"/>
    </xf>
    <xf numFmtId="178" fontId="5" fillId="0" borderId="0" xfId="16" applyNumberFormat="1"/>
    <xf numFmtId="179" fontId="81" fillId="8" borderId="0" xfId="0" applyNumberFormat="1" applyFont="1" applyFill="1" applyAlignment="1" applyProtection="1">
      <protection locked="0"/>
    </xf>
    <xf numFmtId="0" fontId="76" fillId="17" borderId="11" xfId="0" applyFont="1" applyFill="1" applyBorder="1" applyAlignment="1" applyProtection="1">
      <alignment vertical="center"/>
      <protection locked="0"/>
    </xf>
    <xf numFmtId="0" fontId="76" fillId="17" borderId="2" xfId="0" applyFont="1" applyFill="1" applyBorder="1" applyAlignment="1" applyProtection="1">
      <alignment horizontal="center" vertical="center"/>
      <protection locked="0"/>
    </xf>
    <xf numFmtId="178" fontId="81" fillId="5" borderId="0" xfId="0" applyNumberFormat="1" applyFont="1" applyFill="1" applyProtection="1">
      <alignment vertical="center"/>
      <protection locked="0"/>
    </xf>
    <xf numFmtId="9" fontId="76" fillId="5" borderId="45" xfId="0" applyNumberFormat="1" applyFont="1" applyFill="1" applyBorder="1" applyAlignment="1" applyProtection="1">
      <alignment horizontal="center" vertical="center"/>
      <protection locked="0"/>
    </xf>
    <xf numFmtId="0" fontId="87" fillId="5" borderId="0" xfId="0" applyFont="1" applyFill="1" applyAlignment="1" applyProtection="1">
      <alignment horizontal="left" vertical="center"/>
      <protection locked="0"/>
    </xf>
    <xf numFmtId="0" fontId="87" fillId="5" borderId="0" xfId="0" applyFont="1" applyFill="1" applyAlignment="1" applyProtection="1">
      <alignment horizontal="left" vertical="center"/>
    </xf>
    <xf numFmtId="0" fontId="81" fillId="5" borderId="2" xfId="0" applyFont="1" applyFill="1" applyBorder="1" applyAlignment="1" applyProtection="1">
      <alignment horizontal="left" vertical="center"/>
      <protection locked="0"/>
    </xf>
    <xf numFmtId="0" fontId="81" fillId="5" borderId="2" xfId="0" applyFont="1" applyFill="1" applyBorder="1" applyAlignment="1" applyProtection="1">
      <alignment horizontal="center" vertical="center"/>
      <protection locked="0"/>
    </xf>
    <xf numFmtId="0" fontId="81" fillId="5" borderId="2" xfId="0" applyFont="1" applyFill="1" applyBorder="1" applyAlignment="1" applyProtection="1">
      <alignment vertical="center"/>
      <protection locked="0"/>
    </xf>
    <xf numFmtId="0" fontId="87" fillId="5" borderId="2" xfId="0" applyFont="1" applyFill="1" applyBorder="1" applyAlignment="1" applyProtection="1">
      <alignment horizontal="left" vertical="center"/>
      <protection locked="0"/>
    </xf>
    <xf numFmtId="0" fontId="87" fillId="5" borderId="2" xfId="0" applyFont="1" applyFill="1" applyBorder="1" applyAlignment="1" applyProtection="1">
      <alignment horizontal="left" vertical="center"/>
    </xf>
    <xf numFmtId="0" fontId="87" fillId="17" borderId="0" xfId="0" applyFont="1" applyFill="1" applyAlignment="1" applyProtection="1">
      <protection locked="0"/>
    </xf>
    <xf numFmtId="0" fontId="81" fillId="17" borderId="0" xfId="0" applyFont="1" applyFill="1" applyAlignment="1" applyProtection="1">
      <protection locked="0"/>
    </xf>
    <xf numFmtId="185" fontId="157" fillId="17" borderId="10" xfId="0" applyNumberFormat="1" applyFont="1" applyFill="1" applyBorder="1" applyAlignment="1" applyProtection="1">
      <alignment horizontal="center" vertical="center"/>
      <protection locked="0"/>
    </xf>
    <xf numFmtId="0" fontId="190" fillId="0" borderId="0" xfId="7" applyFont="1" applyAlignment="1" applyProtection="1">
      <alignment horizontal="left" vertical="top" wrapText="1"/>
    </xf>
    <xf numFmtId="0" fontId="211" fillId="0" borderId="5" xfId="0" applyFont="1" applyBorder="1" applyAlignment="1">
      <alignment horizontal="center" vertical="center" wrapText="1"/>
    </xf>
    <xf numFmtId="0" fontId="211" fillId="0" borderId="8" xfId="0" applyFont="1" applyBorder="1" applyAlignment="1">
      <alignment horizontal="center" vertical="center" wrapText="1"/>
    </xf>
    <xf numFmtId="0" fontId="211" fillId="0" borderId="9" xfId="0" applyFont="1" applyBorder="1" applyAlignment="1">
      <alignment horizontal="center" vertical="center" wrapText="1"/>
    </xf>
    <xf numFmtId="0" fontId="195"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200"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200" fillId="0" borderId="2" xfId="0" applyFont="1" applyBorder="1" applyAlignment="1" applyProtection="1">
      <alignment horizontal="center" vertical="center" wrapText="1"/>
    </xf>
    <xf numFmtId="0" fontId="199" fillId="0" borderId="0" xfId="0" applyFont="1" applyAlignment="1">
      <alignment vertical="center" wrapText="1"/>
    </xf>
    <xf numFmtId="49" fontId="191" fillId="0" borderId="0" xfId="0" applyNumberFormat="1" applyFont="1" applyAlignment="1" applyProtection="1">
      <alignment vertical="center" wrapText="1"/>
      <protection locked="0"/>
    </xf>
    <xf numFmtId="0" fontId="199" fillId="0" borderId="0" xfId="0" applyFont="1" applyAlignment="1" applyProtection="1">
      <alignment vertical="center" wrapText="1"/>
    </xf>
    <xf numFmtId="0" fontId="191" fillId="0" borderId="0" xfId="0" applyFont="1" applyAlignment="1" applyProtection="1">
      <alignment vertical="center" wrapText="1"/>
      <protection locked="0"/>
    </xf>
    <xf numFmtId="0" fontId="199" fillId="0" borderId="0" xfId="0" applyFont="1" applyAlignment="1" applyProtection="1">
      <alignment vertical="center" wrapText="1"/>
      <protection locked="0"/>
    </xf>
    <xf numFmtId="0" fontId="172" fillId="0" borderId="10" xfId="0" applyFont="1" applyBorder="1" applyAlignment="1" applyProtection="1">
      <alignment horizontal="left" vertical="center" wrapText="1"/>
    </xf>
    <xf numFmtId="0" fontId="172" fillId="0" borderId="3" xfId="0" applyFont="1" applyBorder="1" applyAlignment="1" applyProtection="1">
      <alignment horizontal="left" vertical="center" wrapText="1"/>
    </xf>
    <xf numFmtId="0" fontId="172" fillId="0" borderId="21" xfId="0" applyFont="1" applyBorder="1" applyAlignment="1" applyProtection="1">
      <alignment horizontal="left" vertical="center" wrapText="1"/>
    </xf>
    <xf numFmtId="0" fontId="154" fillId="0" borderId="5" xfId="0" applyFont="1" applyBorder="1" applyAlignment="1" applyProtection="1">
      <alignment horizontal="left" vertical="center"/>
    </xf>
    <xf numFmtId="0" fontId="154" fillId="0" borderId="9" xfId="0" applyFont="1" applyBorder="1" applyAlignment="1" applyProtection="1">
      <alignment horizontal="left" vertical="center"/>
    </xf>
    <xf numFmtId="0" fontId="154" fillId="0" borderId="2" xfId="0" applyFont="1" applyBorder="1" applyAlignment="1" applyProtection="1">
      <alignment horizontal="left" vertical="center"/>
    </xf>
    <xf numFmtId="0" fontId="154" fillId="9" borderId="2" xfId="0" applyFont="1" applyFill="1" applyBorder="1" applyAlignment="1" applyProtection="1">
      <alignment horizontal="left" vertical="center"/>
    </xf>
    <xf numFmtId="0" fontId="154" fillId="6" borderId="2" xfId="0" applyFont="1" applyFill="1" applyBorder="1" applyAlignment="1" applyProtection="1">
      <alignment horizontal="left" vertical="center"/>
    </xf>
    <xf numFmtId="0" fontId="57" fillId="0" borderId="5" xfId="0" applyFont="1" applyBorder="1" applyAlignment="1" applyProtection="1">
      <alignment horizontal="left" vertical="center"/>
    </xf>
    <xf numFmtId="0" fontId="154" fillId="0" borderId="10" xfId="0" applyFont="1" applyBorder="1" applyAlignment="1" applyProtection="1">
      <alignment horizontal="left" vertical="center"/>
    </xf>
    <xf numFmtId="0" fontId="154" fillId="0" borderId="3" xfId="0" applyFont="1" applyBorder="1" applyAlignment="1" applyProtection="1">
      <alignment horizontal="left" vertical="center"/>
    </xf>
    <xf numFmtId="0" fontId="278" fillId="0" borderId="2" xfId="7" applyFont="1" applyFill="1" applyBorder="1" applyAlignment="1">
      <alignment horizontal="left" vertical="center"/>
    </xf>
    <xf numFmtId="0" fontId="277" fillId="0" borderId="2" xfId="7" applyFont="1" applyBorder="1" applyAlignment="1">
      <alignment horizontal="left" vertical="center"/>
    </xf>
    <xf numFmtId="0" fontId="170" fillId="5" borderId="0" xfId="0" applyFont="1" applyFill="1" applyBorder="1" applyAlignment="1" applyProtection="1">
      <alignment horizontal="center" vertical="center" wrapText="1"/>
    </xf>
    <xf numFmtId="0" fontId="83" fillId="0" borderId="2" xfId="0" applyFont="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49" xfId="0" applyFont="1" applyFill="1" applyBorder="1" applyAlignment="1" applyProtection="1">
      <alignment vertical="center" wrapText="1"/>
    </xf>
    <xf numFmtId="0" fontId="83" fillId="5" borderId="37" xfId="0" applyFont="1" applyFill="1" applyBorder="1" applyAlignment="1" applyProtection="1">
      <alignment vertical="center" wrapText="1"/>
    </xf>
    <xf numFmtId="0" fontId="83" fillId="5" borderId="38" xfId="0" applyFont="1" applyFill="1" applyBorder="1" applyAlignment="1" applyProtection="1">
      <alignment vertical="center" wrapText="1"/>
    </xf>
    <xf numFmtId="0" fontId="282" fillId="8" borderId="5" xfId="0" applyFont="1" applyFill="1" applyBorder="1" applyAlignment="1" applyProtection="1">
      <alignment vertical="center" wrapText="1"/>
      <protection locked="0"/>
    </xf>
    <xf numFmtId="0" fontId="191" fillId="8" borderId="8" xfId="0" applyFont="1" applyFill="1" applyBorder="1" applyAlignment="1" applyProtection="1">
      <alignment vertical="center" wrapText="1"/>
      <protection locked="0"/>
    </xf>
    <xf numFmtId="0" fontId="191" fillId="8" borderId="9" xfId="0" applyFont="1" applyFill="1" applyBorder="1" applyAlignment="1" applyProtection="1">
      <alignment vertical="center" wrapText="1"/>
      <protection locked="0"/>
    </xf>
    <xf numFmtId="0" fontId="83" fillId="5" borderId="10" xfId="0" applyFont="1" applyFill="1" applyBorder="1" applyAlignment="1" applyProtection="1">
      <alignment horizontal="center" vertical="center" wrapText="1"/>
    </xf>
    <xf numFmtId="0" fontId="83" fillId="5" borderId="102" xfId="0" applyFont="1" applyFill="1" applyBorder="1" applyAlignment="1" applyProtection="1">
      <alignment horizontal="center" vertical="center" wrapText="1"/>
    </xf>
    <xf numFmtId="49" fontId="191" fillId="8" borderId="5" xfId="0" applyNumberFormat="1" applyFont="1" applyFill="1" applyBorder="1" applyAlignment="1" applyProtection="1">
      <alignment horizontal="left" vertical="center"/>
      <protection locked="0"/>
    </xf>
    <xf numFmtId="49" fontId="191" fillId="8" borderId="8" xfId="0" applyNumberFormat="1" applyFont="1" applyFill="1" applyBorder="1" applyAlignment="1" applyProtection="1">
      <alignment horizontal="left" vertical="center"/>
      <protection locked="0"/>
    </xf>
    <xf numFmtId="49" fontId="191" fillId="8" borderId="9" xfId="0" applyNumberFormat="1" applyFont="1" applyFill="1" applyBorder="1" applyAlignment="1" applyProtection="1">
      <alignment horizontal="left" vertical="center"/>
      <protection locked="0"/>
    </xf>
    <xf numFmtId="0" fontId="83" fillId="5" borderId="42"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3" fillId="5" borderId="59" xfId="0" applyFont="1" applyFill="1" applyBorder="1" applyAlignment="1" applyProtection="1">
      <alignment horizontal="center" vertical="center"/>
    </xf>
    <xf numFmtId="0" fontId="83" fillId="5" borderId="30" xfId="0" applyFont="1" applyFill="1" applyBorder="1" applyAlignment="1" applyProtection="1">
      <alignment horizontal="center" vertical="center"/>
    </xf>
    <xf numFmtId="0" fontId="83" fillId="5" borderId="10" xfId="0" applyFont="1" applyFill="1" applyBorder="1" applyAlignment="1" applyProtection="1">
      <alignment horizontal="left" vertical="center" wrapText="1"/>
    </xf>
    <xf numFmtId="0" fontId="83" fillId="5" borderId="3" xfId="0" applyFont="1" applyFill="1" applyBorder="1" applyAlignment="1" applyProtection="1">
      <alignment horizontal="left" vertical="center" wrapText="1"/>
    </xf>
    <xf numFmtId="0" fontId="83" fillId="5" borderId="17" xfId="0" applyFont="1" applyFill="1" applyBorder="1" applyAlignment="1" applyProtection="1">
      <alignment horizontal="left" vertical="center" wrapText="1"/>
    </xf>
    <xf numFmtId="180" fontId="83" fillId="8" borderId="5" xfId="0" applyNumberFormat="1" applyFont="1" applyFill="1" applyBorder="1" applyAlignment="1" applyProtection="1">
      <alignment horizontal="center" vertical="center" wrapText="1"/>
      <protection locked="0"/>
    </xf>
    <xf numFmtId="180" fontId="83" fillId="8" borderId="8" xfId="0" applyNumberFormat="1" applyFont="1" applyFill="1" applyBorder="1" applyAlignment="1" applyProtection="1">
      <alignment horizontal="center" vertical="center" wrapText="1"/>
      <protection locked="0"/>
    </xf>
    <xf numFmtId="180" fontId="83" fillId="8" borderId="9" xfId="0" applyNumberFormat="1" applyFont="1" applyFill="1" applyBorder="1" applyAlignment="1" applyProtection="1">
      <alignment horizontal="center" vertical="center" wrapText="1"/>
      <protection locked="0"/>
    </xf>
    <xf numFmtId="0" fontId="191" fillId="8" borderId="5" xfId="0" applyFont="1" applyFill="1" applyBorder="1" applyAlignment="1" applyProtection="1">
      <alignment vertical="center"/>
      <protection locked="0"/>
    </xf>
    <xf numFmtId="0" fontId="191" fillId="8" borderId="8" xfId="0" applyFont="1" applyFill="1" applyBorder="1" applyAlignment="1" applyProtection="1">
      <alignment vertical="center"/>
      <protection locked="0"/>
    </xf>
    <xf numFmtId="0" fontId="191" fillId="8" borderId="9" xfId="0" applyFont="1" applyFill="1" applyBorder="1" applyAlignment="1" applyProtection="1">
      <alignment vertical="center"/>
      <protection locked="0"/>
    </xf>
    <xf numFmtId="0" fontId="83" fillId="2" borderId="17" xfId="0" applyFont="1" applyFill="1" applyBorder="1" applyAlignment="1" applyProtection="1">
      <alignment horizontal="left" vertical="center" wrapText="1"/>
      <protection locked="0"/>
    </xf>
    <xf numFmtId="0" fontId="83" fillId="2" borderId="20" xfId="0" applyFont="1" applyFill="1" applyBorder="1" applyAlignment="1" applyProtection="1">
      <alignment horizontal="left" vertical="center" wrapText="1"/>
      <protection locked="0"/>
    </xf>
    <xf numFmtId="0" fontId="83" fillId="5" borderId="3" xfId="0" applyFont="1" applyFill="1" applyBorder="1" applyAlignment="1" applyProtection="1">
      <alignment horizontal="left" vertical="center"/>
    </xf>
    <xf numFmtId="0" fontId="83" fillId="5" borderId="21" xfId="0" applyFont="1" applyFill="1" applyBorder="1" applyAlignment="1" applyProtection="1">
      <alignment horizontal="left" vertical="center"/>
    </xf>
    <xf numFmtId="0" fontId="83" fillId="0" borderId="5" xfId="0" applyFont="1" applyBorder="1" applyAlignment="1" applyProtection="1">
      <alignment horizontal="left" vertical="center" wrapText="1"/>
      <protection locked="0"/>
    </xf>
    <xf numFmtId="0" fontId="83" fillId="0" borderId="32" xfId="0" applyFont="1" applyBorder="1" applyAlignment="1" applyProtection="1">
      <alignment horizontal="left" vertical="center" wrapText="1"/>
      <protection locked="0"/>
    </xf>
    <xf numFmtId="0" fontId="83" fillId="5" borderId="10" xfId="0" applyFont="1" applyFill="1" applyBorder="1" applyAlignment="1" applyProtection="1">
      <alignment horizontal="left" vertical="center"/>
    </xf>
    <xf numFmtId="49" fontId="83" fillId="5" borderId="2" xfId="0" applyNumberFormat="1" applyFont="1" applyFill="1" applyBorder="1" applyAlignment="1" applyProtection="1">
      <alignment horizontal="center" vertical="center" wrapText="1"/>
    </xf>
    <xf numFmtId="0" fontId="83" fillId="8" borderId="5" xfId="0" applyFont="1" applyFill="1" applyBorder="1" applyAlignment="1" applyProtection="1">
      <alignment horizontal="left" vertical="center" wrapText="1"/>
      <protection locked="0"/>
    </xf>
    <xf numFmtId="0" fontId="83" fillId="8" borderId="8" xfId="0" applyFont="1" applyFill="1" applyBorder="1" applyAlignment="1" applyProtection="1">
      <alignment horizontal="left" vertical="center" wrapText="1"/>
      <protection locked="0"/>
    </xf>
    <xf numFmtId="0" fontId="83" fillId="8" borderId="9" xfId="0" applyFont="1" applyFill="1" applyBorder="1" applyAlignment="1" applyProtection="1">
      <alignment horizontal="left" vertical="center" wrapText="1"/>
      <protection locked="0"/>
    </xf>
    <xf numFmtId="0" fontId="83" fillId="5" borderId="5" xfId="0" applyFont="1" applyFill="1" applyBorder="1" applyAlignment="1" applyProtection="1">
      <alignment horizontal="left" vertical="center" wrapText="1"/>
    </xf>
    <xf numFmtId="0" fontId="83" fillId="5" borderId="9" xfId="0" applyFont="1" applyFill="1" applyBorder="1" applyAlignment="1" applyProtection="1">
      <alignment horizontal="left" vertical="center" wrapText="1"/>
    </xf>
    <xf numFmtId="0" fontId="83" fillId="8" borderId="2" xfId="0" applyFont="1" applyFill="1" applyBorder="1" applyAlignment="1" applyProtection="1">
      <alignment vertical="center" wrapText="1"/>
      <protection locked="0"/>
    </xf>
    <xf numFmtId="0" fontId="83" fillId="0" borderId="2" xfId="0" applyFont="1" applyBorder="1" applyAlignment="1" applyProtection="1">
      <alignment vertical="center" wrapText="1"/>
      <protection locked="0"/>
    </xf>
    <xf numFmtId="0" fontId="23" fillId="0" borderId="2" xfId="0" applyFont="1" applyFill="1" applyBorder="1" applyAlignment="1" applyProtection="1">
      <alignment horizontal="center" vertical="center" wrapText="1"/>
    </xf>
    <xf numFmtId="0" fontId="153" fillId="0" borderId="2" xfId="0" applyFont="1" applyBorder="1" applyAlignment="1">
      <alignment horizontal="center" vertical="center" wrapText="1"/>
    </xf>
    <xf numFmtId="0" fontId="295" fillId="13" borderId="161" xfId="0" applyFont="1" applyFill="1" applyBorder="1">
      <alignment vertical="center"/>
    </xf>
    <xf numFmtId="0" fontId="295" fillId="13" borderId="156" xfId="0" applyFont="1" applyFill="1" applyBorder="1">
      <alignment vertical="center"/>
    </xf>
    <xf numFmtId="0" fontId="292" fillId="0" borderId="154" xfId="0" applyFont="1" applyBorder="1">
      <alignment vertical="center"/>
    </xf>
    <xf numFmtId="0" fontId="292" fillId="0" borderId="155" xfId="0" applyFont="1" applyBorder="1">
      <alignment vertical="center"/>
    </xf>
    <xf numFmtId="0" fontId="292" fillId="13" borderId="154" xfId="0" applyFont="1" applyFill="1" applyBorder="1">
      <alignment vertical="center"/>
    </xf>
    <xf numFmtId="0" fontId="292" fillId="13" borderId="155" xfId="0" applyFont="1" applyFill="1" applyBorder="1">
      <alignment vertical="center"/>
    </xf>
    <xf numFmtId="0" fontId="292" fillId="13" borderId="161" xfId="0" applyFont="1" applyFill="1" applyBorder="1">
      <alignment vertical="center"/>
    </xf>
    <xf numFmtId="0" fontId="292" fillId="13" borderId="158" xfId="0" applyFont="1" applyFill="1" applyBorder="1">
      <alignment vertical="center"/>
    </xf>
    <xf numFmtId="0" fontId="292" fillId="13" borderId="156" xfId="0" applyFont="1" applyFill="1" applyBorder="1">
      <alignment vertical="center"/>
    </xf>
    <xf numFmtId="0" fontId="293" fillId="0" borderId="154" xfId="0" applyFont="1" applyBorder="1" applyAlignment="1">
      <alignment vertical="center" wrapText="1"/>
    </xf>
    <xf numFmtId="0" fontId="293" fillId="0" borderId="159" xfId="0" applyFont="1" applyBorder="1" applyAlignment="1">
      <alignment vertical="center" wrapText="1"/>
    </xf>
    <xf numFmtId="0" fontId="293" fillId="0" borderId="155" xfId="0" applyFont="1" applyBorder="1" applyAlignment="1">
      <alignment vertical="center" wrapText="1"/>
    </xf>
    <xf numFmtId="0" fontId="293" fillId="13" borderId="154" xfId="0" applyFont="1" applyFill="1" applyBorder="1">
      <alignment vertical="center"/>
    </xf>
    <xf numFmtId="0" fontId="293" fillId="13" borderId="159" xfId="0" applyFont="1" applyFill="1" applyBorder="1">
      <alignment vertical="center"/>
    </xf>
    <xf numFmtId="0" fontId="293" fillId="13" borderId="155" xfId="0" applyFont="1" applyFill="1" applyBorder="1">
      <alignment vertical="center"/>
    </xf>
    <xf numFmtId="0" fontId="1" fillId="0" borderId="2" xfId="16" applyFont="1" applyBorder="1" applyAlignment="1">
      <alignment horizontal="center" vertical="center"/>
    </xf>
    <xf numFmtId="0" fontId="5" fillId="0" borderId="2" xfId="16" applyBorder="1" applyAlignment="1">
      <alignment horizontal="center" vertical="center"/>
    </xf>
    <xf numFmtId="0" fontId="2" fillId="0" borderId="10" xfId="16" applyFont="1" applyBorder="1" applyAlignment="1">
      <alignment horizontal="center" vertical="center"/>
    </xf>
    <xf numFmtId="0" fontId="2" fillId="0" borderId="3" xfId="16" applyFont="1" applyBorder="1" applyAlignment="1">
      <alignment horizontal="center" vertical="center"/>
    </xf>
    <xf numFmtId="0" fontId="2" fillId="0" borderId="21" xfId="16" applyFont="1" applyBorder="1" applyAlignment="1">
      <alignment horizontal="center" vertical="center"/>
    </xf>
    <xf numFmtId="0" fontId="1" fillId="0" borderId="2" xfId="16" applyFont="1" applyBorder="1" applyAlignment="1">
      <alignment horizontal="left" vertical="center"/>
    </xf>
    <xf numFmtId="0" fontId="1" fillId="0" borderId="10" xfId="16" applyFont="1" applyBorder="1" applyAlignment="1">
      <alignment horizontal="left" vertical="center"/>
    </xf>
    <xf numFmtId="0" fontId="1" fillId="0" borderId="3" xfId="16" applyFont="1" applyBorder="1" applyAlignment="1">
      <alignment horizontal="left" vertical="center"/>
    </xf>
    <xf numFmtId="0" fontId="1" fillId="0" borderId="21" xfId="16" applyFont="1" applyBorder="1" applyAlignment="1">
      <alignment horizontal="left" vertical="center"/>
    </xf>
    <xf numFmtId="0" fontId="2" fillId="0" borderId="10" xfId="16" applyFont="1" applyBorder="1" applyAlignment="1">
      <alignment horizontal="left" vertical="center"/>
    </xf>
    <xf numFmtId="0" fontId="2" fillId="0" borderId="3" xfId="16" applyFont="1" applyBorder="1" applyAlignment="1">
      <alignment horizontal="left" vertical="center"/>
    </xf>
    <xf numFmtId="0" fontId="2" fillId="0" borderId="21" xfId="16" applyFont="1" applyBorder="1" applyAlignment="1">
      <alignment horizontal="left" vertical="center"/>
    </xf>
    <xf numFmtId="0" fontId="1" fillId="0" borderId="2" xfId="16" applyFont="1" applyBorder="1" applyAlignment="1">
      <alignment vertical="center"/>
    </xf>
    <xf numFmtId="0" fontId="1" fillId="0" borderId="10" xfId="16" applyFont="1" applyBorder="1" applyAlignment="1">
      <alignment vertical="center" wrapText="1"/>
    </xf>
    <xf numFmtId="0" fontId="1" fillId="0" borderId="3" xfId="16" applyFont="1" applyBorder="1" applyAlignment="1">
      <alignment vertical="center" wrapText="1"/>
    </xf>
    <xf numFmtId="0" fontId="1" fillId="0" borderId="21" xfId="16" applyFont="1" applyBorder="1" applyAlignment="1">
      <alignment vertical="center" wrapText="1"/>
    </xf>
    <xf numFmtId="0" fontId="1" fillId="0" borderId="10" xfId="16" applyFont="1" applyBorder="1" applyAlignment="1">
      <alignment vertical="center"/>
    </xf>
    <xf numFmtId="0" fontId="1" fillId="0" borderId="21" xfId="16" applyFont="1" applyBorder="1" applyAlignment="1">
      <alignment vertical="center"/>
    </xf>
    <xf numFmtId="0" fontId="1" fillId="0" borderId="3" xfId="16" applyFont="1" applyBorder="1" applyAlignment="1">
      <alignment vertical="center"/>
    </xf>
    <xf numFmtId="0" fontId="5" fillId="18" borderId="2" xfId="16" applyFill="1" applyBorder="1" applyAlignment="1">
      <alignment horizontal="center"/>
    </xf>
    <xf numFmtId="0" fontId="5" fillId="0" borderId="5" xfId="16" applyBorder="1" applyAlignment="1">
      <alignment horizontal="center"/>
    </xf>
    <xf numFmtId="0" fontId="5" fillId="0" borderId="8" xfId="16" applyBorder="1" applyAlignment="1">
      <alignment horizontal="center"/>
    </xf>
    <xf numFmtId="0" fontId="5" fillId="0" borderId="9" xfId="16" applyBorder="1" applyAlignment="1">
      <alignment horizontal="center"/>
    </xf>
    <xf numFmtId="0" fontId="24" fillId="5" borderId="53" xfId="0" applyFont="1" applyFill="1" applyBorder="1" applyAlignment="1" applyProtection="1">
      <alignment horizontal="center" vertical="center"/>
    </xf>
    <xf numFmtId="0" fontId="24" fillId="5" borderId="27"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22" fillId="5" borderId="6" xfId="0" applyFont="1" applyFill="1" applyBorder="1" applyAlignment="1" applyProtection="1">
      <alignment horizontal="center" vertical="center"/>
    </xf>
    <xf numFmtId="0" fontId="22" fillId="5" borderId="7"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59" xfId="0" applyFont="1" applyFill="1" applyBorder="1" applyAlignment="1" applyProtection="1">
      <alignment horizontal="center" vertical="center"/>
    </xf>
    <xf numFmtId="0" fontId="80" fillId="5" borderId="30" xfId="0" applyFont="1" applyFill="1" applyBorder="1" applyAlignment="1" applyProtection="1">
      <alignment horizontal="center" vertical="center"/>
    </xf>
    <xf numFmtId="0" fontId="80"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67" fillId="5" borderId="104" xfId="0" applyFont="1" applyFill="1" applyBorder="1" applyAlignment="1" applyProtection="1">
      <alignment horizontal="center" vertical="center"/>
    </xf>
    <xf numFmtId="0" fontId="67" fillId="5" borderId="100" xfId="0" applyFont="1" applyFill="1" applyBorder="1" applyAlignment="1" applyProtection="1">
      <alignment horizontal="center" vertical="center"/>
    </xf>
    <xf numFmtId="0" fontId="167" fillId="5" borderId="2" xfId="0" applyFont="1" applyFill="1" applyBorder="1" applyAlignment="1">
      <alignment horizontal="center" vertical="center" wrapText="1"/>
    </xf>
    <xf numFmtId="0" fontId="54" fillId="5" borderId="5" xfId="0" applyFont="1" applyFill="1" applyBorder="1" applyAlignment="1" applyProtection="1">
      <alignment horizontal="center" vertical="center"/>
    </xf>
    <xf numFmtId="0" fontId="54" fillId="5" borderId="8" xfId="0" applyFont="1" applyFill="1" applyBorder="1" applyAlignment="1" applyProtection="1">
      <alignment horizontal="center" vertical="center"/>
    </xf>
    <xf numFmtId="0" fontId="54" fillId="5" borderId="5" xfId="0" applyFont="1" applyFill="1" applyBorder="1" applyAlignment="1" applyProtection="1">
      <alignment horizontal="left" vertical="center"/>
    </xf>
    <xf numFmtId="0" fontId="54" fillId="5" borderId="9" xfId="0" applyFont="1" applyFill="1" applyBorder="1" applyAlignment="1" applyProtection="1">
      <alignment horizontal="left" vertical="center"/>
    </xf>
    <xf numFmtId="0" fontId="180" fillId="5" borderId="36" xfId="0" applyFont="1" applyFill="1" applyBorder="1" applyAlignment="1" applyProtection="1">
      <alignment horizontal="center" vertical="center" wrapText="1"/>
    </xf>
    <xf numFmtId="0" fontId="180" fillId="5" borderId="37" xfId="0" applyFont="1" applyFill="1" applyBorder="1" applyAlignment="1" applyProtection="1">
      <alignment horizontal="center" vertical="center" wrapText="1"/>
    </xf>
    <xf numFmtId="0" fontId="180" fillId="5" borderId="38"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17"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70" fillId="5" borderId="2" xfId="0" applyFont="1" applyFill="1" applyBorder="1" applyAlignment="1" applyProtection="1">
      <alignment horizontal="center" vertical="center" wrapText="1"/>
    </xf>
    <xf numFmtId="0" fontId="50" fillId="5" borderId="10" xfId="0" applyFont="1" applyFill="1" applyBorder="1" applyAlignment="1" applyProtection="1">
      <alignment horizontal="center" vertical="center" wrapText="1"/>
    </xf>
    <xf numFmtId="0" fontId="162" fillId="5" borderId="10" xfId="0" applyFont="1" applyFill="1" applyBorder="1" applyAlignment="1" applyProtection="1">
      <alignment horizontal="center" vertical="center" wrapText="1"/>
    </xf>
    <xf numFmtId="0" fontId="171" fillId="5" borderId="21" xfId="0" applyFont="1" applyFill="1" applyBorder="1" applyAlignment="1" applyProtection="1">
      <alignment horizontal="center" vertical="center" wrapText="1"/>
    </xf>
    <xf numFmtId="0" fontId="90" fillId="5" borderId="61" xfId="0" applyFont="1" applyFill="1" applyBorder="1" applyAlignment="1" applyProtection="1">
      <alignment horizontal="center" vertical="center"/>
    </xf>
    <xf numFmtId="0" fontId="100" fillId="5" borderId="1" xfId="0" applyFont="1" applyFill="1" applyBorder="1" applyAlignment="1" applyProtection="1">
      <alignment horizontal="center" vertical="center" wrapText="1"/>
    </xf>
    <xf numFmtId="0" fontId="100" fillId="5" borderId="6" xfId="0" applyFont="1" applyFill="1" applyBorder="1" applyAlignment="1" applyProtection="1">
      <alignment horizontal="center" vertical="center"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80" fillId="5" borderId="53" xfId="0" applyFont="1" applyFill="1" applyBorder="1" applyAlignment="1" applyProtection="1">
      <alignment horizontal="left" vertical="center" wrapText="1"/>
    </xf>
    <xf numFmtId="0" fontId="80" fillId="5" borderId="24" xfId="0" applyFont="1" applyFill="1" applyBorder="1" applyAlignment="1" applyProtection="1">
      <alignment horizontal="left" vertical="center" wrapText="1"/>
    </xf>
    <xf numFmtId="0" fontId="80" fillId="5" borderId="23" xfId="0" applyFont="1" applyFill="1" applyBorder="1" applyAlignment="1" applyProtection="1">
      <alignment horizontal="left" vertical="center" wrapText="1"/>
    </xf>
    <xf numFmtId="0" fontId="170" fillId="5" borderId="71" xfId="0" applyFont="1" applyFill="1" applyBorder="1" applyAlignment="1" applyProtection="1">
      <alignment horizontal="center" vertical="center" wrapText="1"/>
    </xf>
    <xf numFmtId="0" fontId="170" fillId="5" borderId="84"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78" fillId="5" borderId="35" xfId="0" applyFont="1" applyFill="1" applyBorder="1" applyAlignment="1" applyProtection="1">
      <alignment horizontal="center" vertical="center" wrapText="1"/>
    </xf>
    <xf numFmtId="0" fontId="178" fillId="5" borderId="79" xfId="0" applyFont="1" applyFill="1" applyBorder="1" applyAlignment="1" applyProtection="1">
      <alignment horizontal="center" vertical="center" wrapText="1"/>
    </xf>
    <xf numFmtId="0" fontId="178" fillId="5" borderId="80" xfId="0" applyFont="1" applyFill="1" applyBorder="1" applyAlignment="1" applyProtection="1">
      <alignment horizontal="center" vertical="center" wrapText="1"/>
    </xf>
    <xf numFmtId="0" fontId="81" fillId="5" borderId="43" xfId="0" applyFont="1" applyFill="1" applyBorder="1" applyAlignment="1" applyProtection="1">
      <alignment horizontal="left" vertical="center" wrapText="1"/>
    </xf>
    <xf numFmtId="0" fontId="81" fillId="5" borderId="44" xfId="0" applyFont="1" applyFill="1" applyBorder="1" applyAlignment="1" applyProtection="1">
      <alignment horizontal="left" vertical="center" wrapText="1"/>
    </xf>
    <xf numFmtId="0" fontId="90" fillId="5" borderId="4" xfId="0" applyFont="1" applyFill="1" applyBorder="1" applyAlignment="1" applyProtection="1">
      <alignment horizontal="left" vertical="center" wrapText="1"/>
    </xf>
    <xf numFmtId="0" fontId="90" fillId="5" borderId="14" xfId="0" applyFont="1" applyFill="1" applyBorder="1" applyAlignment="1" applyProtection="1">
      <alignment horizontal="left" vertical="center" wrapText="1"/>
    </xf>
    <xf numFmtId="0" fontId="90" fillId="5" borderId="32" xfId="0" applyFont="1" applyFill="1" applyBorder="1" applyAlignment="1" applyProtection="1">
      <alignment horizontal="left" vertical="center" wrapText="1"/>
    </xf>
    <xf numFmtId="0" fontId="81" fillId="5" borderId="25" xfId="0" applyFont="1" applyFill="1" applyBorder="1" applyAlignment="1" applyProtection="1">
      <alignment horizontal="center" vertical="center"/>
    </xf>
    <xf numFmtId="0" fontId="81" fillId="5" borderId="52" xfId="0" applyFont="1" applyFill="1" applyBorder="1" applyAlignment="1" applyProtection="1">
      <alignment horizontal="center" vertical="center"/>
    </xf>
    <xf numFmtId="0" fontId="81" fillId="5" borderId="51" xfId="0" applyFont="1" applyFill="1" applyBorder="1" applyAlignment="1" applyProtection="1">
      <alignment horizontal="center" vertical="center"/>
    </xf>
    <xf numFmtId="0" fontId="81" fillId="5" borderId="11" xfId="0" applyFont="1" applyFill="1" applyBorder="1" applyAlignment="1" applyProtection="1">
      <alignment horizontal="left" vertical="center" wrapText="1"/>
    </xf>
    <xf numFmtId="0" fontId="81" fillId="5" borderId="2" xfId="0" applyFont="1" applyFill="1" applyBorder="1" applyAlignment="1" applyProtection="1">
      <alignment horizontal="left" vertical="center" wrapText="1"/>
    </xf>
    <xf numFmtId="10" fontId="54" fillId="5" borderId="5" xfId="0" applyNumberFormat="1" applyFont="1" applyFill="1" applyBorder="1" applyAlignment="1" applyProtection="1">
      <alignment horizontal="left" vertical="center" wrapText="1"/>
    </xf>
    <xf numFmtId="10" fontId="81" fillId="5" borderId="8" xfId="0" applyNumberFormat="1" applyFont="1" applyFill="1" applyBorder="1" applyAlignment="1" applyProtection="1">
      <alignment horizontal="left" vertical="center" wrapText="1"/>
    </xf>
    <xf numFmtId="10" fontId="81" fillId="5" borderId="16" xfId="0" applyNumberFormat="1" applyFont="1" applyFill="1" applyBorder="1" applyAlignment="1" applyProtection="1">
      <alignment horizontal="left" vertical="center" wrapText="1"/>
    </xf>
    <xf numFmtId="10" fontId="81" fillId="5" borderId="5" xfId="0" applyNumberFormat="1" applyFont="1" applyFill="1" applyBorder="1" applyAlignment="1" applyProtection="1">
      <alignment horizontal="left" vertical="center" wrapText="1"/>
    </xf>
    <xf numFmtId="0" fontId="158" fillId="0" borderId="36" xfId="0" applyFont="1" applyBorder="1" applyAlignment="1" applyProtection="1">
      <alignment horizontal="center" vertical="center"/>
      <protection locked="0"/>
    </xf>
    <xf numFmtId="0" fontId="158" fillId="0" borderId="37" xfId="0" applyFont="1" applyBorder="1" applyAlignment="1" applyProtection="1">
      <alignment horizontal="center" vertical="center"/>
      <protection locked="0"/>
    </xf>
    <xf numFmtId="0" fontId="158" fillId="0" borderId="61" xfId="0" applyFont="1" applyBorder="1" applyAlignment="1" applyProtection="1">
      <alignment horizontal="center" vertical="center"/>
      <protection locked="0"/>
    </xf>
    <xf numFmtId="0" fontId="158" fillId="0" borderId="38" xfId="0" applyFont="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2" xfId="0" applyFont="1" applyFill="1" applyBorder="1" applyAlignment="1" applyProtection="1">
      <alignment horizontal="center" vertical="center" wrapText="1"/>
    </xf>
    <xf numFmtId="0" fontId="81" fillId="5" borderId="5" xfId="0" applyFont="1" applyFill="1" applyBorder="1" applyAlignment="1" applyProtection="1">
      <alignment horizontal="left" vertical="center" wrapText="1"/>
    </xf>
    <xf numFmtId="0" fontId="81" fillId="5" borderId="8" xfId="0" applyFont="1" applyFill="1" applyBorder="1" applyAlignment="1" applyProtection="1">
      <alignment horizontal="left" vertical="center" wrapText="1"/>
    </xf>
    <xf numFmtId="0" fontId="81" fillId="5" borderId="16" xfId="0" applyFont="1" applyFill="1" applyBorder="1" applyAlignment="1" applyProtection="1">
      <alignment horizontal="left" vertical="center" wrapText="1"/>
    </xf>
    <xf numFmtId="0" fontId="100" fillId="5" borderId="31" xfId="0"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xf>
    <xf numFmtId="0" fontId="81" fillId="5" borderId="87" xfId="0" applyFont="1" applyFill="1" applyBorder="1" applyAlignment="1" applyProtection="1">
      <alignment horizontal="center" vertical="center"/>
    </xf>
    <xf numFmtId="0" fontId="81" fillId="5" borderId="19" xfId="0" applyFont="1" applyFill="1" applyBorder="1" applyAlignment="1" applyProtection="1">
      <alignment horizontal="center" vertical="center"/>
    </xf>
    <xf numFmtId="0" fontId="76" fillId="0" borderId="10" xfId="0" applyFont="1" applyBorder="1" applyAlignment="1" applyProtection="1">
      <alignment horizontal="center" vertical="center"/>
      <protection locked="0"/>
    </xf>
    <xf numFmtId="0" fontId="76" fillId="0" borderId="3" xfId="0" applyFont="1" applyBorder="1" applyAlignment="1" applyProtection="1">
      <alignment horizontal="center" vertical="center"/>
      <protection locked="0"/>
    </xf>
    <xf numFmtId="0" fontId="76" fillId="0" borderId="21" xfId="0" applyFont="1" applyBorder="1" applyAlignment="1" applyProtection="1">
      <alignment horizontal="center" vertical="center"/>
      <protection locked="0"/>
    </xf>
    <xf numFmtId="0" fontId="76" fillId="0" borderId="2" xfId="0" applyFont="1" applyBorder="1" applyAlignment="1" applyProtection="1">
      <alignment horizontal="center" vertical="center"/>
      <protection locked="0"/>
    </xf>
    <xf numFmtId="0" fontId="81" fillId="5" borderId="8" xfId="0" applyFont="1" applyFill="1" applyBorder="1" applyAlignment="1" applyProtection="1">
      <alignment horizontal="center" vertical="center" wrapText="1"/>
    </xf>
    <xf numFmtId="0" fontId="81" fillId="5" borderId="9" xfId="0" applyFont="1" applyFill="1" applyBorder="1" applyAlignment="1" applyProtection="1">
      <alignment horizontal="left" vertical="center" wrapText="1"/>
    </xf>
    <xf numFmtId="0" fontId="80" fillId="5" borderId="50" xfId="0" applyFont="1" applyFill="1" applyBorder="1" applyAlignment="1" applyProtection="1">
      <alignment horizontal="left" vertical="center" wrapText="1"/>
    </xf>
    <xf numFmtId="0" fontId="80" fillId="5" borderId="11" xfId="0" applyFont="1" applyFill="1" applyBorder="1" applyAlignment="1" applyProtection="1">
      <alignment horizontal="left" vertical="center"/>
    </xf>
    <xf numFmtId="0" fontId="80" fillId="5" borderId="2" xfId="0" applyFont="1" applyFill="1" applyBorder="1" applyAlignment="1" applyProtection="1">
      <alignment horizontal="left" vertical="center"/>
    </xf>
    <xf numFmtId="0" fontId="80" fillId="5" borderId="43" xfId="0" applyFont="1" applyFill="1" applyBorder="1" applyAlignment="1" applyProtection="1">
      <alignment horizontal="left" vertical="center" wrapText="1"/>
      <protection locked="0"/>
    </xf>
    <xf numFmtId="0" fontId="80" fillId="5" borderId="44" xfId="0" applyFont="1" applyFill="1" applyBorder="1" applyAlignment="1" applyProtection="1">
      <alignment horizontal="left" vertical="center" wrapText="1"/>
      <protection locked="0"/>
    </xf>
    <xf numFmtId="0" fontId="81" fillId="5" borderId="22" xfId="0" applyFont="1" applyFill="1" applyBorder="1" applyAlignment="1" applyProtection="1">
      <alignment horizontal="left" vertical="center" wrapText="1"/>
    </xf>
    <xf numFmtId="0" fontId="80" fillId="5" borderId="64" xfId="0" applyFont="1" applyFill="1" applyBorder="1" applyAlignment="1" applyProtection="1">
      <alignment horizontal="left" vertical="center"/>
    </xf>
    <xf numFmtId="0" fontId="80" fillId="5" borderId="9" xfId="0" applyFont="1" applyFill="1" applyBorder="1" applyAlignment="1" applyProtection="1">
      <alignment horizontal="left" vertical="center"/>
    </xf>
    <xf numFmtId="0" fontId="90" fillId="5" borderId="59" xfId="0" applyFont="1" applyFill="1" applyBorder="1" applyAlignment="1" applyProtection="1">
      <alignment horizontal="center" vertical="center" wrapText="1"/>
    </xf>
    <xf numFmtId="0" fontId="90" fillId="5" borderId="30" xfId="0" applyFont="1" applyFill="1" applyBorder="1" applyAlignment="1" applyProtection="1">
      <alignment horizontal="center" vertical="center" wrapText="1"/>
    </xf>
    <xf numFmtId="0" fontId="90" fillId="5" borderId="57" xfId="0" applyFont="1" applyFill="1" applyBorder="1" applyAlignment="1" applyProtection="1">
      <alignment horizontal="center" vertical="center" wrapText="1"/>
    </xf>
    <xf numFmtId="0" fontId="80" fillId="6" borderId="8" xfId="0" applyFont="1" applyFill="1" applyBorder="1" applyAlignment="1" applyProtection="1">
      <alignment vertical="center"/>
    </xf>
    <xf numFmtId="0" fontId="80" fillId="6" borderId="9" xfId="0" applyFont="1" applyFill="1" applyBorder="1" applyAlignment="1" applyProtection="1">
      <alignment vertical="center"/>
    </xf>
    <xf numFmtId="0" fontId="149" fillId="5" borderId="1" xfId="0" applyFont="1" applyFill="1" applyBorder="1" applyAlignment="1" applyProtection="1">
      <alignment horizontal="center" vertical="center" wrapText="1"/>
    </xf>
    <xf numFmtId="0" fontId="149" fillId="5" borderId="6"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205" fillId="5" borderId="11" xfId="0" applyFont="1" applyFill="1" applyBorder="1" applyAlignment="1" applyProtection="1">
      <alignment horizontal="center" vertical="center"/>
    </xf>
    <xf numFmtId="0" fontId="89" fillId="5" borderId="10" xfId="0" applyFont="1" applyFill="1" applyBorder="1" applyAlignment="1" applyProtection="1">
      <alignment horizontal="center" vertical="center"/>
    </xf>
    <xf numFmtId="0" fontId="89" fillId="5" borderId="3" xfId="0" applyFont="1" applyFill="1" applyBorder="1" applyAlignment="1" applyProtection="1">
      <alignment horizontal="center" vertical="center"/>
    </xf>
    <xf numFmtId="0" fontId="89" fillId="5" borderId="21" xfId="0" applyFont="1" applyFill="1" applyBorder="1" applyAlignment="1" applyProtection="1">
      <alignment horizontal="center" vertical="center"/>
    </xf>
    <xf numFmtId="0" fontId="76" fillId="5" borderId="5"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89" fillId="5" borderId="4" xfId="0" applyFont="1" applyFill="1" applyBorder="1" applyAlignment="1" applyProtection="1">
      <alignment horizontal="center" vertical="center"/>
    </xf>
    <xf numFmtId="0" fontId="89" fillId="5" borderId="32" xfId="0" applyFont="1" applyFill="1" applyBorder="1" applyAlignment="1" applyProtection="1">
      <alignment horizontal="center" vertical="center"/>
    </xf>
    <xf numFmtId="0" fontId="89" fillId="5" borderId="13" xfId="0" applyFont="1" applyFill="1" applyBorder="1" applyAlignment="1" applyProtection="1">
      <alignment horizontal="center" vertical="center"/>
    </xf>
    <xf numFmtId="0" fontId="89" fillId="5" borderId="18" xfId="0" applyFont="1" applyFill="1" applyBorder="1" applyAlignment="1" applyProtection="1">
      <alignment horizontal="center" vertical="center"/>
    </xf>
    <xf numFmtId="0" fontId="89" fillId="5" borderId="17" xfId="0" applyFont="1" applyFill="1" applyBorder="1" applyAlignment="1" applyProtection="1">
      <alignment horizontal="center" vertical="center"/>
    </xf>
    <xf numFmtId="0" fontId="89" fillId="5" borderId="20" xfId="0" applyFont="1" applyFill="1" applyBorder="1" applyAlignment="1" applyProtection="1">
      <alignment horizontal="center" vertical="center"/>
    </xf>
    <xf numFmtId="0" fontId="89" fillId="5" borderId="2"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9" fillId="5" borderId="10" xfId="0" applyFont="1" applyFill="1" applyBorder="1" applyAlignment="1" applyProtection="1">
      <alignment horizontal="center" vertical="center" wrapText="1"/>
    </xf>
    <xf numFmtId="0" fontId="89" fillId="5" borderId="3" xfId="0" applyFont="1" applyFill="1" applyBorder="1" applyAlignment="1" applyProtection="1">
      <alignment horizontal="center" vertical="center" wrapText="1"/>
    </xf>
    <xf numFmtId="0" fontId="89" fillId="5" borderId="10" xfId="0" applyFont="1" applyFill="1" applyBorder="1" applyAlignment="1" applyProtection="1">
      <alignment horizontal="center" vertical="center" textRotation="255" wrapText="1"/>
    </xf>
    <xf numFmtId="0" fontId="89" fillId="5" borderId="3" xfId="0" applyFont="1" applyFill="1" applyBorder="1" applyAlignment="1" applyProtection="1">
      <alignment horizontal="center" vertical="center" textRotation="255" wrapText="1"/>
    </xf>
    <xf numFmtId="0" fontId="89" fillId="5" borderId="1" xfId="0" applyFont="1" applyFill="1" applyBorder="1" applyAlignment="1" applyProtection="1">
      <alignment horizontal="center" vertical="center" wrapText="1"/>
    </xf>
    <xf numFmtId="0" fontId="89" fillId="5" borderId="7" xfId="0" applyFont="1" applyFill="1" applyBorder="1" applyAlignment="1" applyProtection="1">
      <alignment horizontal="center" vertical="center" wrapText="1"/>
    </xf>
    <xf numFmtId="0" fontId="89" fillId="5" borderId="4" xfId="0" applyFont="1" applyFill="1" applyBorder="1" applyAlignment="1" applyProtection="1">
      <alignment horizontal="center" vertical="center" wrapText="1"/>
    </xf>
    <xf numFmtId="0" fontId="89" fillId="5" borderId="32" xfId="0" applyFont="1" applyFill="1" applyBorder="1" applyAlignment="1" applyProtection="1">
      <alignment horizontal="center" vertical="center" wrapText="1"/>
    </xf>
    <xf numFmtId="0" fontId="89" fillId="5" borderId="13" xfId="0" applyFont="1" applyFill="1" applyBorder="1" applyAlignment="1" applyProtection="1">
      <alignment horizontal="center" vertical="center" wrapText="1"/>
    </xf>
    <xf numFmtId="0" fontId="89" fillId="5" borderId="18" xfId="0" applyFont="1" applyFill="1" applyBorder="1" applyAlignment="1" applyProtection="1">
      <alignment horizontal="center" vertical="center" wrapText="1"/>
    </xf>
    <xf numFmtId="0" fontId="89" fillId="5" borderId="17" xfId="0" applyFont="1" applyFill="1" applyBorder="1" applyAlignment="1" applyProtection="1">
      <alignment horizontal="center" vertical="center" wrapText="1"/>
    </xf>
    <xf numFmtId="0" fontId="89" fillId="5" borderId="20" xfId="0" applyFont="1" applyFill="1" applyBorder="1" applyAlignment="1" applyProtection="1">
      <alignment horizontal="center" vertical="center" wrapText="1"/>
    </xf>
    <xf numFmtId="0" fontId="89"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9" fillId="5" borderId="5" xfId="0" applyFont="1" applyFill="1" applyBorder="1" applyAlignment="1" applyProtection="1">
      <alignment horizontal="center" vertical="center" wrapText="1"/>
    </xf>
    <xf numFmtId="0" fontId="89" fillId="5" borderId="9" xfId="0" applyFont="1" applyFill="1" applyBorder="1" applyAlignment="1" applyProtection="1">
      <alignment horizontal="center" vertical="center" wrapText="1"/>
    </xf>
    <xf numFmtId="185" fontId="88" fillId="5" borderId="2" xfId="0" applyNumberFormat="1" applyFont="1" applyFill="1" applyBorder="1" applyAlignment="1" applyProtection="1">
      <alignment horizontal="center" vertical="center"/>
    </xf>
    <xf numFmtId="185" fontId="89" fillId="5" borderId="2" xfId="0" applyNumberFormat="1" applyFont="1" applyFill="1" applyBorder="1" applyAlignment="1" applyProtection="1">
      <alignment horizontal="center" vertical="center"/>
    </xf>
    <xf numFmtId="0" fontId="154" fillId="5" borderId="26" xfId="0" applyFont="1" applyFill="1" applyBorder="1" applyAlignment="1" applyProtection="1">
      <alignment horizontal="center" vertical="center" wrapText="1"/>
    </xf>
    <xf numFmtId="0" fontId="154" fillId="5" borderId="39" xfId="0" applyFont="1" applyFill="1" applyBorder="1" applyAlignment="1" applyProtection="1">
      <alignment horizontal="center" vertical="center" wrapText="1"/>
    </xf>
    <xf numFmtId="0" fontId="154" fillId="5" borderId="87" xfId="0" applyFont="1" applyFill="1" applyBorder="1" applyAlignment="1" applyProtection="1">
      <alignment horizontal="center" vertical="center" wrapText="1"/>
    </xf>
    <xf numFmtId="0" fontId="154" fillId="5" borderId="63" xfId="0" applyFont="1" applyFill="1" applyBorder="1" applyAlignment="1" applyProtection="1">
      <alignment horizontal="center" vertical="center" wrapText="1"/>
    </xf>
    <xf numFmtId="0" fontId="157" fillId="5" borderId="11" xfId="0" applyFont="1" applyFill="1" applyBorder="1" applyAlignment="1" applyProtection="1">
      <alignment horizontal="center" vertical="center"/>
    </xf>
    <xf numFmtId="0" fontId="89" fillId="5" borderId="42" xfId="0" applyFont="1" applyFill="1" applyBorder="1" applyAlignment="1" applyProtection="1">
      <alignment horizontal="center" vertical="center" wrapText="1"/>
    </xf>
    <xf numFmtId="0" fontId="89"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9" fillId="5" borderId="0" xfId="3" applyFont="1" applyFill="1" applyAlignment="1" applyProtection="1">
      <alignment horizontal="left" vertical="center"/>
    </xf>
    <xf numFmtId="49" fontId="131" fillId="5" borderId="53" xfId="0" applyNumberFormat="1"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center" vertical="center" wrapText="1"/>
    </xf>
    <xf numFmtId="49" fontId="164" fillId="5" borderId="31" xfId="0" applyNumberFormat="1" applyFont="1" applyFill="1" applyBorder="1" applyAlignment="1" applyProtection="1">
      <alignment horizontal="center" vertical="center" wrapText="1"/>
    </xf>
    <xf numFmtId="49" fontId="164" fillId="5" borderId="24" xfId="0" applyNumberFormat="1" applyFont="1" applyFill="1" applyBorder="1" applyAlignment="1" applyProtection="1">
      <alignment horizontal="center" vertical="center" wrapText="1"/>
    </xf>
    <xf numFmtId="49" fontId="131" fillId="5" borderId="23" xfId="0" applyNumberFormat="1" applyFont="1" applyFill="1" applyBorder="1" applyAlignment="1" applyProtection="1">
      <alignment horizontal="center" vertical="center" wrapText="1"/>
    </xf>
    <xf numFmtId="0" fontId="174" fillId="5" borderId="0" xfId="3" applyFont="1" applyFill="1" applyAlignment="1" applyProtection="1">
      <alignment horizontal="center" vertical="center"/>
    </xf>
    <xf numFmtId="0" fontId="169"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91" fillId="5" borderId="9" xfId="3" applyFont="1" applyFill="1" applyBorder="1" applyAlignment="1" applyProtection="1">
      <alignment horizontal="center" vertical="center" wrapText="1"/>
      <protection locked="0"/>
    </xf>
    <xf numFmtId="0" fontId="45" fillId="5" borderId="8" xfId="3" applyFont="1" applyFill="1" applyBorder="1" applyAlignment="1" applyProtection="1">
      <alignment horizontal="right" vertical="center" wrapText="1"/>
      <protection locked="0"/>
    </xf>
    <xf numFmtId="0" fontId="91" fillId="5" borderId="9" xfId="3" applyFont="1" applyFill="1" applyBorder="1" applyAlignment="1" applyProtection="1">
      <alignment horizontal="right" vertical="center" wrapText="1"/>
      <protection locked="0"/>
    </xf>
    <xf numFmtId="0" fontId="169" fillId="5" borderId="10" xfId="3" applyFont="1" applyFill="1" applyBorder="1" applyAlignment="1" applyProtection="1">
      <alignment horizontal="center" vertical="center"/>
    </xf>
    <xf numFmtId="0" fontId="169" fillId="5" borderId="3" xfId="3" applyFont="1" applyFill="1" applyBorder="1" applyAlignment="1" applyProtection="1">
      <alignment horizontal="center" vertical="center"/>
    </xf>
    <xf numFmtId="0" fontId="169" fillId="5" borderId="21" xfId="3" applyFont="1" applyFill="1" applyBorder="1" applyAlignment="1" applyProtection="1">
      <alignment horizontal="center" vertical="center"/>
    </xf>
    <xf numFmtId="0" fontId="169" fillId="5" borderId="10" xfId="3" applyFont="1" applyFill="1" applyBorder="1" applyAlignment="1" applyProtection="1">
      <alignment horizontal="center" vertical="center" wrapText="1"/>
    </xf>
    <xf numFmtId="0" fontId="169" fillId="5" borderId="21" xfId="3" applyFont="1" applyFill="1" applyBorder="1" applyAlignment="1" applyProtection="1">
      <alignment horizontal="center" vertical="center" wrapText="1"/>
    </xf>
    <xf numFmtId="0" fontId="45" fillId="5" borderId="40" xfId="3" applyFont="1" applyFill="1" applyBorder="1" applyAlignment="1" applyProtection="1">
      <alignment horizontal="center" vertical="center" wrapText="1"/>
    </xf>
    <xf numFmtId="0" fontId="45" fillId="5" borderId="58" xfId="3" applyFont="1" applyFill="1" applyBorder="1" applyAlignment="1" applyProtection="1">
      <alignment horizontal="center" vertical="center" wrapText="1"/>
    </xf>
    <xf numFmtId="0" fontId="204" fillId="5" borderId="0" xfId="3" applyFont="1" applyFill="1" applyAlignment="1" applyProtection="1">
      <alignment horizontal="center" vertical="center"/>
    </xf>
    <xf numFmtId="0" fontId="165" fillId="5" borderId="0" xfId="3" applyFont="1" applyFill="1" applyBorder="1" applyAlignment="1" applyProtection="1">
      <alignment horizontal="left" vertical="center"/>
    </xf>
    <xf numFmtId="0" fontId="171" fillId="5" borderId="1" xfId="3" applyFont="1" applyFill="1" applyBorder="1" applyAlignment="1" applyProtection="1">
      <alignment horizontal="center" vertical="center" wrapText="1"/>
    </xf>
    <xf numFmtId="0" fontId="171" fillId="5" borderId="43" xfId="3" applyFont="1" applyFill="1" applyBorder="1" applyAlignment="1" applyProtection="1">
      <alignment horizontal="center" vertical="center" wrapText="1"/>
    </xf>
    <xf numFmtId="0" fontId="204" fillId="5" borderId="0" xfId="0" applyFont="1" applyFill="1" applyAlignment="1" applyProtection="1">
      <alignment horizontal="center" vertical="center"/>
    </xf>
    <xf numFmtId="0" fontId="235" fillId="0" borderId="0" xfId="10" applyFont="1" applyAlignment="1">
      <alignment horizontal="center" vertical="center"/>
    </xf>
    <xf numFmtId="0" fontId="162"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7" fillId="12" borderId="129" xfId="10" applyFont="1" applyFill="1" applyBorder="1" applyAlignment="1" applyProtection="1">
      <alignment horizontal="center" vertical="center" wrapText="1"/>
    </xf>
    <xf numFmtId="0" fontId="157" fillId="12" borderId="123" xfId="10" applyFont="1" applyFill="1" applyBorder="1" applyAlignment="1" applyProtection="1">
      <alignment horizontal="center" vertical="center" wrapText="1"/>
    </xf>
    <xf numFmtId="0" fontId="157"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41" fillId="12" borderId="152" xfId="10" applyFont="1" applyFill="1" applyBorder="1" applyAlignment="1" applyProtection="1">
      <alignment horizontal="center" vertical="center" wrapText="1"/>
    </xf>
    <xf numFmtId="0" fontId="127"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6" fillId="5" borderId="49" xfId="0" applyFont="1" applyFill="1" applyBorder="1" applyAlignment="1" applyProtection="1">
      <alignment horizontal="left" vertical="center" wrapText="1"/>
    </xf>
    <xf numFmtId="0" fontId="166" fillId="5" borderId="38" xfId="0" applyFont="1" applyFill="1" applyBorder="1" applyAlignment="1" applyProtection="1">
      <alignment horizontal="left" vertical="center" wrapText="1"/>
    </xf>
    <xf numFmtId="0" fontId="283" fillId="0" borderId="9" xfId="0" applyFont="1" applyFill="1" applyBorder="1" applyAlignment="1" applyProtection="1">
      <alignment horizontal="center" vertical="center" wrapText="1"/>
      <protection locked="0"/>
    </xf>
    <xf numFmtId="0" fontId="283" fillId="0" borderId="11" xfId="0" applyFont="1" applyFill="1" applyBorder="1" applyAlignment="1" applyProtection="1">
      <alignment horizontal="center" vertical="center" wrapText="1"/>
      <protection locked="0"/>
    </xf>
    <xf numFmtId="0" fontId="88" fillId="5" borderId="2" xfId="0" applyNumberFormat="1" applyFont="1" applyFill="1" applyBorder="1" applyAlignment="1" applyProtection="1">
      <alignment horizontal="center" vertical="center"/>
    </xf>
    <xf numFmtId="0" fontId="89" fillId="5" borderId="2" xfId="0" applyNumberFormat="1" applyFont="1" applyFill="1" applyBorder="1" applyAlignment="1" applyProtection="1">
      <alignment horizontal="center" vertical="center"/>
    </xf>
    <xf numFmtId="0" fontId="89" fillId="5" borderId="21" xfId="0" applyFont="1" applyFill="1" applyBorder="1" applyAlignment="1" applyProtection="1">
      <alignment horizontal="center" vertical="center" textRotation="255" wrapText="1"/>
    </xf>
    <xf numFmtId="0" fontId="163" fillId="5" borderId="49" xfId="0" applyFont="1" applyFill="1" applyBorder="1" applyAlignment="1" applyProtection="1">
      <alignment horizontal="left" vertical="center" wrapText="1"/>
    </xf>
    <xf numFmtId="0" fontId="163"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32" fillId="0" borderId="2" xfId="0" applyFont="1" applyBorder="1" applyAlignment="1">
      <alignment horizontal="center"/>
    </xf>
    <xf numFmtId="0" fontId="132" fillId="0" borderId="2" xfId="0" applyFont="1" applyBorder="1" applyAlignment="1"/>
    <xf numFmtId="0" fontId="226" fillId="5" borderId="11" xfId="0" applyFont="1" applyFill="1" applyBorder="1" applyAlignment="1">
      <alignment horizontal="left" vertical="center" wrapText="1"/>
    </xf>
    <xf numFmtId="0" fontId="132"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9" fillId="5" borderId="14" xfId="0" applyFont="1" applyFill="1" applyBorder="1" applyAlignment="1" applyProtection="1">
      <alignment horizontal="center" vertical="center" wrapText="1"/>
    </xf>
    <xf numFmtId="0" fontId="89" fillId="5" borderId="0" xfId="0" applyFont="1" applyFill="1" applyBorder="1" applyAlignment="1" applyProtection="1">
      <alignment horizontal="center" vertical="center" wrapText="1"/>
    </xf>
    <xf numFmtId="0" fontId="89" fillId="5" borderId="19" xfId="0" applyFont="1" applyFill="1" applyBorder="1" applyAlignment="1" applyProtection="1">
      <alignment horizontal="center" vertical="center" wrapText="1"/>
    </xf>
    <xf numFmtId="0" fontId="89" fillId="5" borderId="8" xfId="0" applyFont="1" applyFill="1" applyBorder="1" applyAlignment="1" applyProtection="1">
      <alignment horizontal="center" vertical="center" wrapText="1"/>
    </xf>
    <xf numFmtId="0" fontId="81" fillId="5" borderId="5" xfId="0" applyFont="1" applyFill="1" applyBorder="1" applyAlignment="1" applyProtection="1">
      <alignment horizontal="center" vertical="center"/>
    </xf>
    <xf numFmtId="0" fontId="81" fillId="5" borderId="8" xfId="0"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0" fontId="81" fillId="5" borderId="68" xfId="0" applyFont="1" applyFill="1" applyBorder="1" applyAlignment="1" applyProtection="1">
      <alignment horizontal="center" vertical="center"/>
      <protection locked="0"/>
    </xf>
    <xf numFmtId="0" fontId="81" fillId="5" borderId="61" xfId="0" applyFont="1" applyFill="1" applyBorder="1" applyAlignment="1" applyProtection="1">
      <alignment horizontal="center" vertical="center"/>
      <protection locked="0"/>
    </xf>
    <xf numFmtId="0" fontId="81" fillId="5" borderId="67" xfId="0" applyFont="1" applyFill="1" applyBorder="1" applyAlignment="1" applyProtection="1">
      <alignment horizontal="center" vertical="center"/>
      <protection locked="0"/>
    </xf>
  </cellXfs>
  <cellStyles count="18">
    <cellStyle name="百分比 2" xfId="11" xr:uid="{00000000-0005-0000-0000-000000000000}"/>
    <cellStyle name="常规" xfId="0" builtinId="0"/>
    <cellStyle name="常规 10" xfId="16" xr:uid="{00000000-0005-0000-0000-000002000000}"/>
    <cellStyle name="常规 11" xfId="17" xr:uid="{00000000-0005-0000-0000-00000300000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24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18" Type="http://schemas.openxmlformats.org/officeDocument/2006/relationships/image" Target="../media/image3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17" Type="http://schemas.openxmlformats.org/officeDocument/2006/relationships/image" Target="../media/image29.png"/><Relationship Id="rId2" Type="http://schemas.openxmlformats.org/officeDocument/2006/relationships/image" Target="../media/image14.png"/><Relationship Id="rId16" Type="http://schemas.openxmlformats.org/officeDocument/2006/relationships/image" Target="../media/image28.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5" Type="http://schemas.openxmlformats.org/officeDocument/2006/relationships/image" Target="../media/image27.png"/><Relationship Id="rId10" Type="http://schemas.openxmlformats.org/officeDocument/2006/relationships/image" Target="../media/image22.png"/><Relationship Id="rId19" Type="http://schemas.openxmlformats.org/officeDocument/2006/relationships/image" Target="../media/image31.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s>
</file>

<file path=xl/drawings/_rels/drawing4.xml.rels><?xml version="1.0" encoding="UTF-8" standalone="yes"?>
<Relationships xmlns="http://schemas.openxmlformats.org/package/2006/relationships"><Relationship Id="rId8" Type="http://schemas.openxmlformats.org/officeDocument/2006/relationships/image" Target="../media/image39.png"/><Relationship Id="rId13" Type="http://schemas.openxmlformats.org/officeDocument/2006/relationships/image" Target="../media/image44.png"/><Relationship Id="rId3" Type="http://schemas.openxmlformats.org/officeDocument/2006/relationships/image" Target="../media/image34.png"/><Relationship Id="rId7" Type="http://schemas.openxmlformats.org/officeDocument/2006/relationships/image" Target="../media/image38.png"/><Relationship Id="rId12" Type="http://schemas.openxmlformats.org/officeDocument/2006/relationships/image" Target="../media/image43.png"/><Relationship Id="rId2" Type="http://schemas.openxmlformats.org/officeDocument/2006/relationships/image" Target="../media/image33.png"/><Relationship Id="rId1" Type="http://schemas.openxmlformats.org/officeDocument/2006/relationships/image" Target="../media/image32.png"/><Relationship Id="rId6" Type="http://schemas.openxmlformats.org/officeDocument/2006/relationships/image" Target="../media/image37.png"/><Relationship Id="rId11" Type="http://schemas.openxmlformats.org/officeDocument/2006/relationships/image" Target="../media/image42.png"/><Relationship Id="rId5" Type="http://schemas.openxmlformats.org/officeDocument/2006/relationships/image" Target="../media/image36.png"/><Relationship Id="rId10" Type="http://schemas.openxmlformats.org/officeDocument/2006/relationships/image" Target="../media/image41.png"/><Relationship Id="rId4" Type="http://schemas.openxmlformats.org/officeDocument/2006/relationships/image" Target="../media/image35.png"/><Relationship Id="rId9" Type="http://schemas.openxmlformats.org/officeDocument/2006/relationships/image" Target="../media/image4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601980</xdr:colOff>
      <xdr:row>22</xdr:row>
      <xdr:rowOff>38100</xdr:rowOff>
    </xdr:from>
    <xdr:to>
      <xdr:col>26</xdr:col>
      <xdr:colOff>642324</xdr:colOff>
      <xdr:row>41</xdr:row>
      <xdr:rowOff>163380</xdr:rowOff>
    </xdr:to>
    <xdr:pic>
      <xdr:nvPicPr>
        <xdr:cNvPr id="7" name="图片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5826740" y="4061460"/>
          <a:ext cx="3957024" cy="36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60961</xdr:colOff>
      <xdr:row>98</xdr:row>
      <xdr:rowOff>22860</xdr:rowOff>
    </xdr:from>
    <xdr:to>
      <xdr:col>8</xdr:col>
      <xdr:colOff>347516</xdr:colOff>
      <xdr:row>130</xdr:row>
      <xdr:rowOff>58380</xdr:rowOff>
    </xdr:to>
    <xdr:pic>
      <xdr:nvPicPr>
        <xdr:cNvPr id="2" name="图片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60961" y="19133820"/>
          <a:ext cx="9887755" cy="5400000"/>
        </a:xfrm>
        <a:prstGeom prst="rect">
          <a:avLst/>
        </a:prstGeom>
      </xdr:spPr>
    </xdr:pic>
    <xdr:clientData/>
  </xdr:twoCellAnchor>
  <xdr:twoCellAnchor editAs="oneCell">
    <xdr:from>
      <xdr:col>8</xdr:col>
      <xdr:colOff>426720</xdr:colOff>
      <xdr:row>98</xdr:row>
      <xdr:rowOff>15240</xdr:rowOff>
    </xdr:from>
    <xdr:to>
      <xdr:col>17</xdr:col>
      <xdr:colOff>460036</xdr:colOff>
      <xdr:row>123</xdr:row>
      <xdr:rowOff>157572</xdr:rowOff>
    </xdr:to>
    <xdr:pic>
      <xdr:nvPicPr>
        <xdr:cNvPr id="3" name="图片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0027920" y="16443960"/>
          <a:ext cx="7790476" cy="4342857"/>
        </a:xfrm>
        <a:prstGeom prst="rect">
          <a:avLst/>
        </a:prstGeom>
      </xdr:spPr>
    </xdr:pic>
    <xdr:clientData/>
  </xdr:twoCellAnchor>
  <xdr:twoCellAnchor editAs="oneCell">
    <xdr:from>
      <xdr:col>0</xdr:col>
      <xdr:colOff>0</xdr:colOff>
      <xdr:row>132</xdr:row>
      <xdr:rowOff>0</xdr:rowOff>
    </xdr:from>
    <xdr:to>
      <xdr:col>8</xdr:col>
      <xdr:colOff>607104</xdr:colOff>
      <xdr:row>164</xdr:row>
      <xdr:rowOff>35520</xdr:rowOff>
    </xdr:to>
    <xdr:pic>
      <xdr:nvPicPr>
        <xdr:cNvPr id="4" name="图片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3"/>
        <a:stretch>
          <a:fillRect/>
        </a:stretch>
      </xdr:blipFill>
      <xdr:spPr>
        <a:xfrm>
          <a:off x="0" y="24810720"/>
          <a:ext cx="10208304" cy="5400000"/>
        </a:xfrm>
        <a:prstGeom prst="rect">
          <a:avLst/>
        </a:prstGeom>
      </xdr:spPr>
    </xdr:pic>
    <xdr:clientData/>
  </xdr:twoCellAnchor>
  <xdr:twoCellAnchor editAs="oneCell">
    <xdr:from>
      <xdr:col>8</xdr:col>
      <xdr:colOff>586740</xdr:colOff>
      <xdr:row>130</xdr:row>
      <xdr:rowOff>144780</xdr:rowOff>
    </xdr:from>
    <xdr:to>
      <xdr:col>17</xdr:col>
      <xdr:colOff>581961</xdr:colOff>
      <xdr:row>157</xdr:row>
      <xdr:rowOff>113738</xdr:rowOff>
    </xdr:to>
    <xdr:pic>
      <xdr:nvPicPr>
        <xdr:cNvPr id="5" name="图片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4"/>
        <a:stretch>
          <a:fillRect/>
        </a:stretch>
      </xdr:blipFill>
      <xdr:spPr>
        <a:xfrm>
          <a:off x="10187940" y="21937980"/>
          <a:ext cx="7752381" cy="4495238"/>
        </a:xfrm>
        <a:prstGeom prst="rect">
          <a:avLst/>
        </a:prstGeom>
      </xdr:spPr>
    </xdr:pic>
    <xdr:clientData/>
  </xdr:twoCellAnchor>
  <xdr:twoCellAnchor editAs="oneCell">
    <xdr:from>
      <xdr:col>0</xdr:col>
      <xdr:colOff>0</xdr:colOff>
      <xdr:row>166</xdr:row>
      <xdr:rowOff>0</xdr:rowOff>
    </xdr:from>
    <xdr:to>
      <xdr:col>8</xdr:col>
      <xdr:colOff>213664</xdr:colOff>
      <xdr:row>198</xdr:row>
      <xdr:rowOff>35520</xdr:rowOff>
    </xdr:to>
    <xdr:pic>
      <xdr:nvPicPr>
        <xdr:cNvPr id="6" name="图片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5"/>
        <a:stretch>
          <a:fillRect/>
        </a:stretch>
      </xdr:blipFill>
      <xdr:spPr>
        <a:xfrm>
          <a:off x="0" y="30510480"/>
          <a:ext cx="9814864" cy="5400000"/>
        </a:xfrm>
        <a:prstGeom prst="rect">
          <a:avLst/>
        </a:prstGeom>
      </xdr:spPr>
    </xdr:pic>
    <xdr:clientData/>
  </xdr:twoCellAnchor>
  <xdr:twoCellAnchor editAs="oneCell">
    <xdr:from>
      <xdr:col>8</xdr:col>
      <xdr:colOff>228600</xdr:colOff>
      <xdr:row>165</xdr:row>
      <xdr:rowOff>60960</xdr:rowOff>
    </xdr:from>
    <xdr:to>
      <xdr:col>17</xdr:col>
      <xdr:colOff>319059</xdr:colOff>
      <xdr:row>191</xdr:row>
      <xdr:rowOff>3273</xdr:rowOff>
    </xdr:to>
    <xdr:pic>
      <xdr:nvPicPr>
        <xdr:cNvPr id="7" name="图片 6">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6"/>
        <a:stretch>
          <a:fillRect/>
        </a:stretch>
      </xdr:blipFill>
      <xdr:spPr>
        <a:xfrm>
          <a:off x="9829800" y="27721560"/>
          <a:ext cx="7847619" cy="4295238"/>
        </a:xfrm>
        <a:prstGeom prst="rect">
          <a:avLst/>
        </a:prstGeom>
      </xdr:spPr>
    </xdr:pic>
    <xdr:clientData/>
  </xdr:twoCellAnchor>
  <xdr:twoCellAnchor editAs="oneCell">
    <xdr:from>
      <xdr:col>0</xdr:col>
      <xdr:colOff>1</xdr:colOff>
      <xdr:row>200</xdr:row>
      <xdr:rowOff>0</xdr:rowOff>
    </xdr:from>
    <xdr:to>
      <xdr:col>8</xdr:col>
      <xdr:colOff>735944</xdr:colOff>
      <xdr:row>232</xdr:row>
      <xdr:rowOff>35520</xdr:rowOff>
    </xdr:to>
    <xdr:pic>
      <xdr:nvPicPr>
        <xdr:cNvPr id="8" name="图片 7">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7"/>
        <a:stretch>
          <a:fillRect/>
        </a:stretch>
      </xdr:blipFill>
      <xdr:spPr>
        <a:xfrm>
          <a:off x="1" y="36210240"/>
          <a:ext cx="10337143" cy="5400000"/>
        </a:xfrm>
        <a:prstGeom prst="rect">
          <a:avLst/>
        </a:prstGeom>
      </xdr:spPr>
    </xdr:pic>
    <xdr:clientData/>
  </xdr:twoCellAnchor>
  <xdr:twoCellAnchor editAs="oneCell">
    <xdr:from>
      <xdr:col>8</xdr:col>
      <xdr:colOff>731520</xdr:colOff>
      <xdr:row>200</xdr:row>
      <xdr:rowOff>7620</xdr:rowOff>
    </xdr:from>
    <xdr:to>
      <xdr:col>17</xdr:col>
      <xdr:colOff>336265</xdr:colOff>
      <xdr:row>226</xdr:row>
      <xdr:rowOff>29932</xdr:rowOff>
    </xdr:to>
    <xdr:pic>
      <xdr:nvPicPr>
        <xdr:cNvPr id="9" name="图片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8"/>
        <a:stretch>
          <a:fillRect/>
        </a:stretch>
      </xdr:blipFill>
      <xdr:spPr>
        <a:xfrm>
          <a:off x="10332720" y="33535620"/>
          <a:ext cx="7361905" cy="4380952"/>
        </a:xfrm>
        <a:prstGeom prst="rect">
          <a:avLst/>
        </a:prstGeom>
      </xdr:spPr>
    </xdr:pic>
    <xdr:clientData/>
  </xdr:twoCellAnchor>
  <xdr:twoCellAnchor editAs="oneCell">
    <xdr:from>
      <xdr:col>0</xdr:col>
      <xdr:colOff>45720</xdr:colOff>
      <xdr:row>35</xdr:row>
      <xdr:rowOff>114300</xdr:rowOff>
    </xdr:from>
    <xdr:to>
      <xdr:col>8</xdr:col>
      <xdr:colOff>63568</xdr:colOff>
      <xdr:row>77</xdr:row>
      <xdr:rowOff>111515</xdr:rowOff>
    </xdr:to>
    <xdr:pic>
      <xdr:nvPicPr>
        <xdr:cNvPr id="13" name="图片 12">
          <a:extLst>
            <a:ext uri="{FF2B5EF4-FFF2-40B4-BE49-F238E27FC236}">
              <a16:creationId xmlns:a16="http://schemas.microsoft.com/office/drawing/2014/main" id="{00000000-0008-0000-1C00-00000D000000}"/>
            </a:ext>
          </a:extLst>
        </xdr:cNvPr>
        <xdr:cNvPicPr>
          <a:picLocks noChangeAspect="1"/>
        </xdr:cNvPicPr>
      </xdr:nvPicPr>
      <xdr:blipFill>
        <a:blip xmlns:r="http://schemas.openxmlformats.org/officeDocument/2006/relationships" r:embed="rId9"/>
        <a:stretch>
          <a:fillRect/>
        </a:stretch>
      </xdr:blipFill>
      <xdr:spPr>
        <a:xfrm>
          <a:off x="45720" y="6004560"/>
          <a:ext cx="9619048" cy="70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114300</xdr:rowOff>
    </xdr:from>
    <xdr:to>
      <xdr:col>12</xdr:col>
      <xdr:colOff>119360</xdr:colOff>
      <xdr:row>14</xdr:row>
      <xdr:rowOff>79740</xdr:rowOff>
    </xdr:to>
    <xdr:pic>
      <xdr:nvPicPr>
        <xdr:cNvPr id="2" name="图片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480060"/>
          <a:ext cx="7434560" cy="2160000"/>
        </a:xfrm>
        <a:prstGeom prst="rect">
          <a:avLst/>
        </a:prstGeom>
      </xdr:spPr>
    </xdr:pic>
    <xdr:clientData/>
  </xdr:twoCellAnchor>
  <xdr:twoCellAnchor editAs="oneCell">
    <xdr:from>
      <xdr:col>0</xdr:col>
      <xdr:colOff>106680</xdr:colOff>
      <xdr:row>14</xdr:row>
      <xdr:rowOff>30480</xdr:rowOff>
    </xdr:from>
    <xdr:to>
      <xdr:col>13</xdr:col>
      <xdr:colOff>157265</xdr:colOff>
      <xdr:row>25</xdr:row>
      <xdr:rowOff>178800</xdr:rowOff>
    </xdr:to>
    <xdr:pic>
      <xdr:nvPicPr>
        <xdr:cNvPr id="3" name="图片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106680" y="2590800"/>
          <a:ext cx="7975385" cy="2160000"/>
        </a:xfrm>
        <a:prstGeom prst="rect">
          <a:avLst/>
        </a:prstGeom>
      </xdr:spPr>
    </xdr:pic>
    <xdr:clientData/>
  </xdr:twoCellAnchor>
  <xdr:twoCellAnchor editAs="oneCell">
    <xdr:from>
      <xdr:col>0</xdr:col>
      <xdr:colOff>1</xdr:colOff>
      <xdr:row>26</xdr:row>
      <xdr:rowOff>0</xdr:rowOff>
    </xdr:from>
    <xdr:to>
      <xdr:col>11</xdr:col>
      <xdr:colOff>74402</xdr:colOff>
      <xdr:row>37</xdr:row>
      <xdr:rowOff>148320</xdr:rowOff>
    </xdr:to>
    <xdr:pic>
      <xdr:nvPicPr>
        <xdr:cNvPr id="4" name="图片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3"/>
        <a:stretch>
          <a:fillRect/>
        </a:stretch>
      </xdr:blipFill>
      <xdr:spPr>
        <a:xfrm>
          <a:off x="1" y="4754880"/>
          <a:ext cx="6780001" cy="2160000"/>
        </a:xfrm>
        <a:prstGeom prst="rect">
          <a:avLst/>
        </a:prstGeom>
      </xdr:spPr>
    </xdr:pic>
    <xdr:clientData/>
  </xdr:twoCellAnchor>
  <xdr:twoCellAnchor editAs="oneCell">
    <xdr:from>
      <xdr:col>0</xdr:col>
      <xdr:colOff>10160</xdr:colOff>
      <xdr:row>38</xdr:row>
      <xdr:rowOff>30480</xdr:rowOff>
    </xdr:from>
    <xdr:to>
      <xdr:col>13</xdr:col>
      <xdr:colOff>542503</xdr:colOff>
      <xdr:row>45</xdr:row>
      <xdr:rowOff>178891</xdr:rowOff>
    </xdr:to>
    <xdr:pic>
      <xdr:nvPicPr>
        <xdr:cNvPr id="5" name="图片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4"/>
        <a:stretch>
          <a:fillRect/>
        </a:stretch>
      </xdr:blipFill>
      <xdr:spPr>
        <a:xfrm>
          <a:off x="10160" y="6979920"/>
          <a:ext cx="8457143" cy="1428571"/>
        </a:xfrm>
        <a:prstGeom prst="rect">
          <a:avLst/>
        </a:prstGeom>
      </xdr:spPr>
    </xdr:pic>
    <xdr:clientData/>
  </xdr:twoCellAnchor>
  <xdr:twoCellAnchor editAs="oneCell">
    <xdr:from>
      <xdr:col>22</xdr:col>
      <xdr:colOff>1</xdr:colOff>
      <xdr:row>0</xdr:row>
      <xdr:rowOff>0</xdr:rowOff>
    </xdr:from>
    <xdr:to>
      <xdr:col>27</xdr:col>
      <xdr:colOff>57478</xdr:colOff>
      <xdr:row>9</xdr:row>
      <xdr:rowOff>123600</xdr:rowOff>
    </xdr:to>
    <xdr:pic>
      <xdr:nvPicPr>
        <xdr:cNvPr id="6" name="图片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5"/>
        <a:stretch>
          <a:fillRect/>
        </a:stretch>
      </xdr:blipFill>
      <xdr:spPr>
        <a:xfrm>
          <a:off x="13411201" y="0"/>
          <a:ext cx="3105477" cy="1800000"/>
        </a:xfrm>
        <a:prstGeom prst="rect">
          <a:avLst/>
        </a:prstGeom>
      </xdr:spPr>
    </xdr:pic>
    <xdr:clientData/>
  </xdr:twoCellAnchor>
  <xdr:twoCellAnchor editAs="oneCell">
    <xdr:from>
      <xdr:col>14</xdr:col>
      <xdr:colOff>447040</xdr:colOff>
      <xdr:row>26</xdr:row>
      <xdr:rowOff>30480</xdr:rowOff>
    </xdr:from>
    <xdr:to>
      <xdr:col>20</xdr:col>
      <xdr:colOff>167312</xdr:colOff>
      <xdr:row>55</xdr:row>
      <xdr:rowOff>32134</xdr:rowOff>
    </xdr:to>
    <xdr:pic>
      <xdr:nvPicPr>
        <xdr:cNvPr id="8" name="图片 7">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6"/>
        <a:stretch>
          <a:fillRect/>
        </a:stretch>
      </xdr:blipFill>
      <xdr:spPr>
        <a:xfrm>
          <a:off x="8981440" y="4785360"/>
          <a:ext cx="3377872" cy="5305174"/>
        </a:xfrm>
        <a:prstGeom prst="rect">
          <a:avLst/>
        </a:prstGeom>
      </xdr:spPr>
    </xdr:pic>
    <xdr:clientData/>
  </xdr:twoCellAnchor>
  <xdr:twoCellAnchor editAs="oneCell">
    <xdr:from>
      <xdr:col>14</xdr:col>
      <xdr:colOff>518161</xdr:colOff>
      <xdr:row>6</xdr:row>
      <xdr:rowOff>30480</xdr:rowOff>
    </xdr:from>
    <xdr:to>
      <xdr:col>22</xdr:col>
      <xdr:colOff>337577</xdr:colOff>
      <xdr:row>25</xdr:row>
      <xdr:rowOff>91413</xdr:rowOff>
    </xdr:to>
    <xdr:pic>
      <xdr:nvPicPr>
        <xdr:cNvPr id="9" name="图片 8">
          <a:extLst>
            <a:ext uri="{FF2B5EF4-FFF2-40B4-BE49-F238E27FC236}">
              <a16:creationId xmlns:a16="http://schemas.microsoft.com/office/drawing/2014/main" id="{00000000-0008-0000-2600-000009000000}"/>
            </a:ext>
          </a:extLst>
        </xdr:cNvPr>
        <xdr:cNvPicPr>
          <a:picLocks noChangeAspect="1"/>
        </xdr:cNvPicPr>
      </xdr:nvPicPr>
      <xdr:blipFill>
        <a:blip xmlns:r="http://schemas.openxmlformats.org/officeDocument/2006/relationships" r:embed="rId7"/>
        <a:stretch>
          <a:fillRect/>
        </a:stretch>
      </xdr:blipFill>
      <xdr:spPr>
        <a:xfrm>
          <a:off x="9052561" y="1127760"/>
          <a:ext cx="4696216" cy="3535653"/>
        </a:xfrm>
        <a:prstGeom prst="rect">
          <a:avLst/>
        </a:prstGeom>
      </xdr:spPr>
    </xdr:pic>
    <xdr:clientData/>
  </xdr:twoCellAnchor>
  <xdr:twoCellAnchor editAs="oneCell">
    <xdr:from>
      <xdr:col>20</xdr:col>
      <xdr:colOff>276014</xdr:colOff>
      <xdr:row>26</xdr:row>
      <xdr:rowOff>137160</xdr:rowOff>
    </xdr:from>
    <xdr:to>
      <xdr:col>29</xdr:col>
      <xdr:colOff>154815</xdr:colOff>
      <xdr:row>46</xdr:row>
      <xdr:rowOff>11827</xdr:rowOff>
    </xdr:to>
    <xdr:pic>
      <xdr:nvPicPr>
        <xdr:cNvPr id="10" name="图片 9">
          <a:extLst>
            <a:ext uri="{FF2B5EF4-FFF2-40B4-BE49-F238E27FC236}">
              <a16:creationId xmlns:a16="http://schemas.microsoft.com/office/drawing/2014/main" id="{00000000-0008-0000-2600-00000A000000}"/>
            </a:ext>
          </a:extLst>
        </xdr:cNvPr>
        <xdr:cNvPicPr>
          <a:picLocks noChangeAspect="1"/>
        </xdr:cNvPicPr>
      </xdr:nvPicPr>
      <xdr:blipFill>
        <a:blip xmlns:r="http://schemas.openxmlformats.org/officeDocument/2006/relationships" r:embed="rId8"/>
        <a:stretch>
          <a:fillRect/>
        </a:stretch>
      </xdr:blipFill>
      <xdr:spPr>
        <a:xfrm>
          <a:off x="12468014" y="4892040"/>
          <a:ext cx="5365201" cy="3532267"/>
        </a:xfrm>
        <a:prstGeom prst="rect">
          <a:avLst/>
        </a:prstGeom>
      </xdr:spPr>
    </xdr:pic>
    <xdr:clientData/>
  </xdr:twoCellAnchor>
  <xdr:twoCellAnchor editAs="oneCell">
    <xdr:from>
      <xdr:col>14</xdr:col>
      <xdr:colOff>348826</xdr:colOff>
      <xdr:row>55</xdr:row>
      <xdr:rowOff>82974</xdr:rowOff>
    </xdr:from>
    <xdr:to>
      <xdr:col>22</xdr:col>
      <xdr:colOff>586312</xdr:colOff>
      <xdr:row>72</xdr:row>
      <xdr:rowOff>141625</xdr:rowOff>
    </xdr:to>
    <xdr:pic>
      <xdr:nvPicPr>
        <xdr:cNvPr id="11" name="图片 10">
          <a:extLst>
            <a:ext uri="{FF2B5EF4-FFF2-40B4-BE49-F238E27FC236}">
              <a16:creationId xmlns:a16="http://schemas.microsoft.com/office/drawing/2014/main" id="{00000000-0008-0000-2600-00000B000000}"/>
            </a:ext>
          </a:extLst>
        </xdr:cNvPr>
        <xdr:cNvPicPr>
          <a:picLocks noChangeAspect="1"/>
        </xdr:cNvPicPr>
      </xdr:nvPicPr>
      <xdr:blipFill>
        <a:blip xmlns:r="http://schemas.openxmlformats.org/officeDocument/2006/relationships" r:embed="rId9"/>
        <a:stretch>
          <a:fillRect/>
        </a:stretch>
      </xdr:blipFill>
      <xdr:spPr>
        <a:xfrm>
          <a:off x="8883226" y="10141374"/>
          <a:ext cx="5114286" cy="3167611"/>
        </a:xfrm>
        <a:prstGeom prst="rect">
          <a:avLst/>
        </a:prstGeom>
      </xdr:spPr>
    </xdr:pic>
    <xdr:clientData/>
  </xdr:twoCellAnchor>
  <xdr:twoCellAnchor editAs="oneCell">
    <xdr:from>
      <xdr:col>21</xdr:col>
      <xdr:colOff>289560</xdr:colOff>
      <xdr:row>56</xdr:row>
      <xdr:rowOff>5080</xdr:rowOff>
    </xdr:from>
    <xdr:to>
      <xdr:col>29</xdr:col>
      <xdr:colOff>546093</xdr:colOff>
      <xdr:row>95</xdr:row>
      <xdr:rowOff>74013</xdr:rowOff>
    </xdr:to>
    <xdr:pic>
      <xdr:nvPicPr>
        <xdr:cNvPr id="12" name="图片 11">
          <a:extLst>
            <a:ext uri="{FF2B5EF4-FFF2-40B4-BE49-F238E27FC236}">
              <a16:creationId xmlns:a16="http://schemas.microsoft.com/office/drawing/2014/main" id="{00000000-0008-0000-2600-00000C000000}"/>
            </a:ext>
          </a:extLst>
        </xdr:cNvPr>
        <xdr:cNvPicPr>
          <a:picLocks noChangeAspect="1"/>
        </xdr:cNvPicPr>
      </xdr:nvPicPr>
      <xdr:blipFill>
        <a:blip xmlns:r="http://schemas.openxmlformats.org/officeDocument/2006/relationships" r:embed="rId10"/>
        <a:stretch>
          <a:fillRect/>
        </a:stretch>
      </xdr:blipFill>
      <xdr:spPr>
        <a:xfrm>
          <a:off x="13091160" y="10246360"/>
          <a:ext cx="5133333" cy="7201253"/>
        </a:xfrm>
        <a:prstGeom prst="rect">
          <a:avLst/>
        </a:prstGeom>
      </xdr:spPr>
    </xdr:pic>
    <xdr:clientData/>
  </xdr:twoCellAnchor>
  <xdr:twoCellAnchor editAs="oneCell">
    <xdr:from>
      <xdr:col>21</xdr:col>
      <xdr:colOff>267547</xdr:colOff>
      <xdr:row>95</xdr:row>
      <xdr:rowOff>162559</xdr:rowOff>
    </xdr:from>
    <xdr:to>
      <xdr:col>29</xdr:col>
      <xdr:colOff>412953</xdr:colOff>
      <xdr:row>101</xdr:row>
      <xdr:rowOff>145626</xdr:rowOff>
    </xdr:to>
    <xdr:pic>
      <xdr:nvPicPr>
        <xdr:cNvPr id="13" name="图片 12">
          <a:extLst>
            <a:ext uri="{FF2B5EF4-FFF2-40B4-BE49-F238E27FC236}">
              <a16:creationId xmlns:a16="http://schemas.microsoft.com/office/drawing/2014/main" id="{00000000-0008-0000-2600-00000D000000}"/>
            </a:ext>
          </a:extLst>
        </xdr:cNvPr>
        <xdr:cNvPicPr>
          <a:picLocks noChangeAspect="1"/>
        </xdr:cNvPicPr>
      </xdr:nvPicPr>
      <xdr:blipFill>
        <a:blip xmlns:r="http://schemas.openxmlformats.org/officeDocument/2006/relationships" r:embed="rId11"/>
        <a:stretch>
          <a:fillRect/>
        </a:stretch>
      </xdr:blipFill>
      <xdr:spPr>
        <a:xfrm>
          <a:off x="13069147" y="17536159"/>
          <a:ext cx="5022206" cy="1080347"/>
        </a:xfrm>
        <a:prstGeom prst="rect">
          <a:avLst/>
        </a:prstGeom>
      </xdr:spPr>
    </xdr:pic>
    <xdr:clientData/>
  </xdr:twoCellAnchor>
  <xdr:twoCellAnchor editAs="oneCell">
    <xdr:from>
      <xdr:col>30</xdr:col>
      <xdr:colOff>186265</xdr:colOff>
      <xdr:row>0</xdr:row>
      <xdr:rowOff>130386</xdr:rowOff>
    </xdr:from>
    <xdr:to>
      <xdr:col>45</xdr:col>
      <xdr:colOff>261313</xdr:colOff>
      <xdr:row>34</xdr:row>
      <xdr:rowOff>121128</xdr:rowOff>
    </xdr:to>
    <xdr:pic>
      <xdr:nvPicPr>
        <xdr:cNvPr id="14" name="图片 13">
          <a:extLst>
            <a:ext uri="{FF2B5EF4-FFF2-40B4-BE49-F238E27FC236}">
              <a16:creationId xmlns:a16="http://schemas.microsoft.com/office/drawing/2014/main" id="{00000000-0008-0000-2600-00000E000000}"/>
            </a:ext>
          </a:extLst>
        </xdr:cNvPr>
        <xdr:cNvPicPr>
          <a:picLocks noChangeAspect="1"/>
        </xdr:cNvPicPr>
      </xdr:nvPicPr>
      <xdr:blipFill>
        <a:blip xmlns:r="http://schemas.openxmlformats.org/officeDocument/2006/relationships" r:embed="rId12"/>
        <a:stretch>
          <a:fillRect/>
        </a:stretch>
      </xdr:blipFill>
      <xdr:spPr>
        <a:xfrm>
          <a:off x="18474265" y="130386"/>
          <a:ext cx="9219048" cy="6208662"/>
        </a:xfrm>
        <a:prstGeom prst="rect">
          <a:avLst/>
        </a:prstGeom>
      </xdr:spPr>
    </xdr:pic>
    <xdr:clientData/>
  </xdr:twoCellAnchor>
  <xdr:twoCellAnchor editAs="oneCell">
    <xdr:from>
      <xdr:col>31</xdr:col>
      <xdr:colOff>0</xdr:colOff>
      <xdr:row>36</xdr:row>
      <xdr:rowOff>0</xdr:rowOff>
    </xdr:from>
    <xdr:to>
      <xdr:col>45</xdr:col>
      <xdr:colOff>214118</xdr:colOff>
      <xdr:row>74</xdr:row>
      <xdr:rowOff>53947</xdr:rowOff>
    </xdr:to>
    <xdr:pic>
      <xdr:nvPicPr>
        <xdr:cNvPr id="7" name="图片 6">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13"/>
        <a:stretch>
          <a:fillRect/>
        </a:stretch>
      </xdr:blipFill>
      <xdr:spPr>
        <a:xfrm>
          <a:off x="18897600" y="6583680"/>
          <a:ext cx="8748518" cy="7003387"/>
        </a:xfrm>
        <a:prstGeom prst="rect">
          <a:avLst/>
        </a:prstGeom>
      </xdr:spPr>
    </xdr:pic>
    <xdr:clientData/>
  </xdr:twoCellAnchor>
  <xdr:twoCellAnchor editAs="oneCell">
    <xdr:from>
      <xdr:col>45</xdr:col>
      <xdr:colOff>386080</xdr:colOff>
      <xdr:row>0</xdr:row>
      <xdr:rowOff>121920</xdr:rowOff>
    </xdr:from>
    <xdr:to>
      <xdr:col>55</xdr:col>
      <xdr:colOff>23413</xdr:colOff>
      <xdr:row>19</xdr:row>
      <xdr:rowOff>56724</xdr:rowOff>
    </xdr:to>
    <xdr:pic>
      <xdr:nvPicPr>
        <xdr:cNvPr id="15" name="图片 14">
          <a:extLst>
            <a:ext uri="{FF2B5EF4-FFF2-40B4-BE49-F238E27FC236}">
              <a16:creationId xmlns:a16="http://schemas.microsoft.com/office/drawing/2014/main" id="{20CEC31B-B119-400D-8B11-760497ACDE5E}"/>
            </a:ext>
          </a:extLst>
        </xdr:cNvPr>
        <xdr:cNvPicPr>
          <a:picLocks noChangeAspect="1"/>
        </xdr:cNvPicPr>
      </xdr:nvPicPr>
      <xdr:blipFill>
        <a:blip xmlns:r="http://schemas.openxmlformats.org/officeDocument/2006/relationships" r:embed="rId14"/>
        <a:stretch>
          <a:fillRect/>
        </a:stretch>
      </xdr:blipFill>
      <xdr:spPr>
        <a:xfrm>
          <a:off x="27818080" y="121920"/>
          <a:ext cx="5733333" cy="3409524"/>
        </a:xfrm>
        <a:prstGeom prst="rect">
          <a:avLst/>
        </a:prstGeom>
      </xdr:spPr>
    </xdr:pic>
    <xdr:clientData/>
  </xdr:twoCellAnchor>
  <xdr:twoCellAnchor editAs="oneCell">
    <xdr:from>
      <xdr:col>30</xdr:col>
      <xdr:colOff>568960</xdr:colOff>
      <xdr:row>85</xdr:row>
      <xdr:rowOff>40640</xdr:rowOff>
    </xdr:from>
    <xdr:to>
      <xdr:col>44</xdr:col>
      <xdr:colOff>548846</xdr:colOff>
      <xdr:row>93</xdr:row>
      <xdr:rowOff>44267</xdr:rowOff>
    </xdr:to>
    <xdr:pic>
      <xdr:nvPicPr>
        <xdr:cNvPr id="16" name="图片 15">
          <a:extLst>
            <a:ext uri="{FF2B5EF4-FFF2-40B4-BE49-F238E27FC236}">
              <a16:creationId xmlns:a16="http://schemas.microsoft.com/office/drawing/2014/main" id="{3A70FE2B-AE6E-4D06-9D1E-77A16A915C0E}"/>
            </a:ext>
          </a:extLst>
        </xdr:cNvPr>
        <xdr:cNvPicPr>
          <a:picLocks noChangeAspect="1"/>
        </xdr:cNvPicPr>
      </xdr:nvPicPr>
      <xdr:blipFill>
        <a:blip xmlns:r="http://schemas.openxmlformats.org/officeDocument/2006/relationships" r:embed="rId15"/>
        <a:stretch>
          <a:fillRect/>
        </a:stretch>
      </xdr:blipFill>
      <xdr:spPr>
        <a:xfrm>
          <a:off x="18856960" y="15585440"/>
          <a:ext cx="8514286" cy="1466667"/>
        </a:xfrm>
        <a:prstGeom prst="rect">
          <a:avLst/>
        </a:prstGeom>
      </xdr:spPr>
    </xdr:pic>
    <xdr:clientData/>
  </xdr:twoCellAnchor>
  <xdr:twoCellAnchor editAs="oneCell">
    <xdr:from>
      <xdr:col>30</xdr:col>
      <xdr:colOff>599440</xdr:colOff>
      <xdr:row>93</xdr:row>
      <xdr:rowOff>60960</xdr:rowOff>
    </xdr:from>
    <xdr:to>
      <xdr:col>40</xdr:col>
      <xdr:colOff>508482</xdr:colOff>
      <xdr:row>122</xdr:row>
      <xdr:rowOff>157440</xdr:rowOff>
    </xdr:to>
    <xdr:pic>
      <xdr:nvPicPr>
        <xdr:cNvPr id="17" name="图片 16">
          <a:extLst>
            <a:ext uri="{FF2B5EF4-FFF2-40B4-BE49-F238E27FC236}">
              <a16:creationId xmlns:a16="http://schemas.microsoft.com/office/drawing/2014/main" id="{407044DD-BF3F-4F4D-856E-EF8DB1AC3846}"/>
            </a:ext>
          </a:extLst>
        </xdr:cNvPr>
        <xdr:cNvPicPr>
          <a:picLocks noChangeAspect="1"/>
        </xdr:cNvPicPr>
      </xdr:nvPicPr>
      <xdr:blipFill>
        <a:blip xmlns:r="http://schemas.openxmlformats.org/officeDocument/2006/relationships" r:embed="rId16"/>
        <a:stretch>
          <a:fillRect/>
        </a:stretch>
      </xdr:blipFill>
      <xdr:spPr>
        <a:xfrm>
          <a:off x="18887440" y="17068800"/>
          <a:ext cx="6005042" cy="5400000"/>
        </a:xfrm>
        <a:prstGeom prst="rect">
          <a:avLst/>
        </a:prstGeom>
      </xdr:spPr>
    </xdr:pic>
    <xdr:clientData/>
  </xdr:twoCellAnchor>
  <xdr:twoCellAnchor editAs="oneCell">
    <xdr:from>
      <xdr:col>31</xdr:col>
      <xdr:colOff>0</xdr:colOff>
      <xdr:row>77</xdr:row>
      <xdr:rowOff>111760</xdr:rowOff>
    </xdr:from>
    <xdr:to>
      <xdr:col>44</xdr:col>
      <xdr:colOff>484724</xdr:colOff>
      <xdr:row>85</xdr:row>
      <xdr:rowOff>1101</xdr:rowOff>
    </xdr:to>
    <xdr:pic>
      <xdr:nvPicPr>
        <xdr:cNvPr id="18" name="图片 17">
          <a:extLst>
            <a:ext uri="{FF2B5EF4-FFF2-40B4-BE49-F238E27FC236}">
              <a16:creationId xmlns:a16="http://schemas.microsoft.com/office/drawing/2014/main" id="{9C921B44-230B-41E4-9922-818A2BED5F25}"/>
            </a:ext>
          </a:extLst>
        </xdr:cNvPr>
        <xdr:cNvPicPr>
          <a:picLocks noChangeAspect="1"/>
        </xdr:cNvPicPr>
      </xdr:nvPicPr>
      <xdr:blipFill>
        <a:blip xmlns:r="http://schemas.openxmlformats.org/officeDocument/2006/relationships" r:embed="rId17"/>
        <a:stretch>
          <a:fillRect/>
        </a:stretch>
      </xdr:blipFill>
      <xdr:spPr>
        <a:xfrm>
          <a:off x="18897600" y="14193520"/>
          <a:ext cx="8409524" cy="1352381"/>
        </a:xfrm>
        <a:prstGeom prst="rect">
          <a:avLst/>
        </a:prstGeom>
      </xdr:spPr>
    </xdr:pic>
    <xdr:clientData/>
  </xdr:twoCellAnchor>
  <xdr:twoCellAnchor editAs="oneCell">
    <xdr:from>
      <xdr:col>40</xdr:col>
      <xdr:colOff>538480</xdr:colOff>
      <xdr:row>93</xdr:row>
      <xdr:rowOff>30480</xdr:rowOff>
    </xdr:from>
    <xdr:to>
      <xdr:col>50</xdr:col>
      <xdr:colOff>115352</xdr:colOff>
      <xdr:row>122</xdr:row>
      <xdr:rowOff>126960</xdr:rowOff>
    </xdr:to>
    <xdr:pic>
      <xdr:nvPicPr>
        <xdr:cNvPr id="19" name="图片 18">
          <a:extLst>
            <a:ext uri="{FF2B5EF4-FFF2-40B4-BE49-F238E27FC236}">
              <a16:creationId xmlns:a16="http://schemas.microsoft.com/office/drawing/2014/main" id="{96933004-EAD4-47C9-B23C-D8D8BDAC44B8}"/>
            </a:ext>
          </a:extLst>
        </xdr:cNvPr>
        <xdr:cNvPicPr>
          <a:picLocks noChangeAspect="1"/>
        </xdr:cNvPicPr>
      </xdr:nvPicPr>
      <xdr:blipFill>
        <a:blip xmlns:r="http://schemas.openxmlformats.org/officeDocument/2006/relationships" r:embed="rId18"/>
        <a:stretch>
          <a:fillRect/>
        </a:stretch>
      </xdr:blipFill>
      <xdr:spPr>
        <a:xfrm>
          <a:off x="24922480" y="17038320"/>
          <a:ext cx="5672872" cy="5400000"/>
        </a:xfrm>
        <a:prstGeom prst="rect">
          <a:avLst/>
        </a:prstGeom>
      </xdr:spPr>
    </xdr:pic>
    <xdr:clientData/>
  </xdr:twoCellAnchor>
  <xdr:twoCellAnchor editAs="oneCell">
    <xdr:from>
      <xdr:col>31</xdr:col>
      <xdr:colOff>101600</xdr:colOff>
      <xdr:row>123</xdr:row>
      <xdr:rowOff>60960</xdr:rowOff>
    </xdr:from>
    <xdr:to>
      <xdr:col>41</xdr:col>
      <xdr:colOff>343100</xdr:colOff>
      <xdr:row>152</xdr:row>
      <xdr:rowOff>157440</xdr:rowOff>
    </xdr:to>
    <xdr:pic>
      <xdr:nvPicPr>
        <xdr:cNvPr id="20" name="图片 19">
          <a:extLst>
            <a:ext uri="{FF2B5EF4-FFF2-40B4-BE49-F238E27FC236}">
              <a16:creationId xmlns:a16="http://schemas.microsoft.com/office/drawing/2014/main" id="{80737043-30F1-435C-A40F-EBFB12B04F37}"/>
            </a:ext>
          </a:extLst>
        </xdr:cNvPr>
        <xdr:cNvPicPr>
          <a:picLocks noChangeAspect="1"/>
        </xdr:cNvPicPr>
      </xdr:nvPicPr>
      <xdr:blipFill>
        <a:blip xmlns:r="http://schemas.openxmlformats.org/officeDocument/2006/relationships" r:embed="rId19"/>
        <a:stretch>
          <a:fillRect/>
        </a:stretch>
      </xdr:blipFill>
      <xdr:spPr>
        <a:xfrm>
          <a:off x="18999200" y="22555200"/>
          <a:ext cx="6337500" cy="54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15</xdr:col>
      <xdr:colOff>598857</xdr:colOff>
      <xdr:row>13</xdr:row>
      <xdr:rowOff>176969</xdr:rowOff>
    </xdr:to>
    <xdr:pic>
      <xdr:nvPicPr>
        <xdr:cNvPr id="2" name="图片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982980"/>
          <a:ext cx="9742857" cy="1571429"/>
        </a:xfrm>
        <a:prstGeom prst="rect">
          <a:avLst/>
        </a:prstGeom>
      </xdr:spPr>
    </xdr:pic>
    <xdr:clientData/>
  </xdr:twoCellAnchor>
  <xdr:twoCellAnchor editAs="oneCell">
    <xdr:from>
      <xdr:col>0</xdr:col>
      <xdr:colOff>0</xdr:colOff>
      <xdr:row>14</xdr:row>
      <xdr:rowOff>0</xdr:rowOff>
    </xdr:from>
    <xdr:to>
      <xdr:col>16</xdr:col>
      <xdr:colOff>113067</xdr:colOff>
      <xdr:row>22</xdr:row>
      <xdr:rowOff>175055</xdr:rowOff>
    </xdr:to>
    <xdr:pic>
      <xdr:nvPicPr>
        <xdr:cNvPr id="3" name="图片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stretch>
          <a:fillRect/>
        </a:stretch>
      </xdr:blipFill>
      <xdr:spPr>
        <a:xfrm>
          <a:off x="0" y="2560320"/>
          <a:ext cx="9866667" cy="1638095"/>
        </a:xfrm>
        <a:prstGeom prst="rect">
          <a:avLst/>
        </a:prstGeom>
      </xdr:spPr>
    </xdr:pic>
    <xdr:clientData/>
  </xdr:twoCellAnchor>
  <xdr:twoCellAnchor editAs="oneCell">
    <xdr:from>
      <xdr:col>0</xdr:col>
      <xdr:colOff>0</xdr:colOff>
      <xdr:row>23</xdr:row>
      <xdr:rowOff>0</xdr:rowOff>
    </xdr:from>
    <xdr:to>
      <xdr:col>15</xdr:col>
      <xdr:colOff>313143</xdr:colOff>
      <xdr:row>39</xdr:row>
      <xdr:rowOff>112015</xdr:rowOff>
    </xdr:to>
    <xdr:pic>
      <xdr:nvPicPr>
        <xdr:cNvPr id="4" name="图片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3"/>
        <a:stretch>
          <a:fillRect/>
        </a:stretch>
      </xdr:blipFill>
      <xdr:spPr>
        <a:xfrm>
          <a:off x="0" y="4206240"/>
          <a:ext cx="9457143" cy="3038095"/>
        </a:xfrm>
        <a:prstGeom prst="rect">
          <a:avLst/>
        </a:prstGeom>
      </xdr:spPr>
    </xdr:pic>
    <xdr:clientData/>
  </xdr:twoCellAnchor>
  <xdr:twoCellAnchor editAs="oneCell">
    <xdr:from>
      <xdr:col>0</xdr:col>
      <xdr:colOff>10886</xdr:colOff>
      <xdr:row>39</xdr:row>
      <xdr:rowOff>132805</xdr:rowOff>
    </xdr:from>
    <xdr:to>
      <xdr:col>15</xdr:col>
      <xdr:colOff>343076</xdr:colOff>
      <xdr:row>47</xdr:row>
      <xdr:rowOff>155479</xdr:rowOff>
    </xdr:to>
    <xdr:pic>
      <xdr:nvPicPr>
        <xdr:cNvPr id="5" name="图片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4"/>
        <a:stretch>
          <a:fillRect/>
        </a:stretch>
      </xdr:blipFill>
      <xdr:spPr>
        <a:xfrm>
          <a:off x="10886" y="7350034"/>
          <a:ext cx="9476190" cy="1503131"/>
        </a:xfrm>
        <a:prstGeom prst="rect">
          <a:avLst/>
        </a:prstGeom>
      </xdr:spPr>
    </xdr:pic>
    <xdr:clientData/>
  </xdr:twoCellAnchor>
  <xdr:twoCellAnchor editAs="oneCell">
    <xdr:from>
      <xdr:col>15</xdr:col>
      <xdr:colOff>595449</xdr:colOff>
      <xdr:row>4</xdr:row>
      <xdr:rowOff>182880</xdr:rowOff>
    </xdr:from>
    <xdr:to>
      <xdr:col>31</xdr:col>
      <xdr:colOff>308516</xdr:colOff>
      <xdr:row>29</xdr:row>
      <xdr:rowOff>122989</xdr:rowOff>
    </xdr:to>
    <xdr:pic>
      <xdr:nvPicPr>
        <xdr:cNvPr id="6" name="图片 5">
          <a:extLst>
            <a:ext uri="{FF2B5EF4-FFF2-40B4-BE49-F238E27FC236}">
              <a16:creationId xmlns:a16="http://schemas.microsoft.com/office/drawing/2014/main" id="{00000000-0008-0000-2700-000006000000}"/>
            </a:ext>
          </a:extLst>
        </xdr:cNvPr>
        <xdr:cNvPicPr>
          <a:picLocks noChangeAspect="1"/>
        </xdr:cNvPicPr>
      </xdr:nvPicPr>
      <xdr:blipFill>
        <a:blip xmlns:r="http://schemas.openxmlformats.org/officeDocument/2006/relationships" r:embed="rId5"/>
        <a:stretch>
          <a:fillRect/>
        </a:stretch>
      </xdr:blipFill>
      <xdr:spPr>
        <a:xfrm>
          <a:off x="9739449" y="923109"/>
          <a:ext cx="9466667" cy="4566537"/>
        </a:xfrm>
        <a:prstGeom prst="rect">
          <a:avLst/>
        </a:prstGeom>
      </xdr:spPr>
    </xdr:pic>
    <xdr:clientData/>
  </xdr:twoCellAnchor>
  <xdr:twoCellAnchor editAs="oneCell">
    <xdr:from>
      <xdr:col>16</xdr:col>
      <xdr:colOff>0</xdr:colOff>
      <xdr:row>30</xdr:row>
      <xdr:rowOff>0</xdr:rowOff>
    </xdr:from>
    <xdr:to>
      <xdr:col>31</xdr:col>
      <xdr:colOff>522667</xdr:colOff>
      <xdr:row>38</xdr:row>
      <xdr:rowOff>165531</xdr:rowOff>
    </xdr:to>
    <xdr:pic>
      <xdr:nvPicPr>
        <xdr:cNvPr id="7" name="图片 6">
          <a:extLst>
            <a:ext uri="{FF2B5EF4-FFF2-40B4-BE49-F238E27FC236}">
              <a16:creationId xmlns:a16="http://schemas.microsoft.com/office/drawing/2014/main" id="{00000000-0008-0000-2700-000007000000}"/>
            </a:ext>
          </a:extLst>
        </xdr:cNvPr>
        <xdr:cNvPicPr>
          <a:picLocks noChangeAspect="1"/>
        </xdr:cNvPicPr>
      </xdr:nvPicPr>
      <xdr:blipFill>
        <a:blip xmlns:r="http://schemas.openxmlformats.org/officeDocument/2006/relationships" r:embed="rId6"/>
        <a:stretch>
          <a:fillRect/>
        </a:stretch>
      </xdr:blipFill>
      <xdr:spPr>
        <a:xfrm>
          <a:off x="9753600" y="5486400"/>
          <a:ext cx="9666667" cy="1628571"/>
        </a:xfrm>
        <a:prstGeom prst="rect">
          <a:avLst/>
        </a:prstGeom>
      </xdr:spPr>
    </xdr:pic>
    <xdr:clientData/>
  </xdr:twoCellAnchor>
  <xdr:twoCellAnchor editAs="oneCell">
    <xdr:from>
      <xdr:col>16</xdr:col>
      <xdr:colOff>0</xdr:colOff>
      <xdr:row>39</xdr:row>
      <xdr:rowOff>0</xdr:rowOff>
    </xdr:from>
    <xdr:to>
      <xdr:col>31</xdr:col>
      <xdr:colOff>456000</xdr:colOff>
      <xdr:row>46</xdr:row>
      <xdr:rowOff>148411</xdr:rowOff>
    </xdr:to>
    <xdr:pic>
      <xdr:nvPicPr>
        <xdr:cNvPr id="8" name="图片 7">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7"/>
        <a:stretch>
          <a:fillRect/>
        </a:stretch>
      </xdr:blipFill>
      <xdr:spPr>
        <a:xfrm>
          <a:off x="9753600" y="7132320"/>
          <a:ext cx="9600000" cy="1428571"/>
        </a:xfrm>
        <a:prstGeom prst="rect">
          <a:avLst/>
        </a:prstGeom>
      </xdr:spPr>
    </xdr:pic>
    <xdr:clientData/>
  </xdr:twoCellAnchor>
  <xdr:twoCellAnchor editAs="oneCell">
    <xdr:from>
      <xdr:col>0</xdr:col>
      <xdr:colOff>130628</xdr:colOff>
      <xdr:row>49</xdr:row>
      <xdr:rowOff>32657</xdr:rowOff>
    </xdr:from>
    <xdr:to>
      <xdr:col>15</xdr:col>
      <xdr:colOff>434247</xdr:colOff>
      <xdr:row>56</xdr:row>
      <xdr:rowOff>13447</xdr:rowOff>
    </xdr:to>
    <xdr:pic>
      <xdr:nvPicPr>
        <xdr:cNvPr id="9" name="图片 8">
          <a:extLst>
            <a:ext uri="{FF2B5EF4-FFF2-40B4-BE49-F238E27FC236}">
              <a16:creationId xmlns:a16="http://schemas.microsoft.com/office/drawing/2014/main" id="{00000000-0008-0000-2700-000009000000}"/>
            </a:ext>
          </a:extLst>
        </xdr:cNvPr>
        <xdr:cNvPicPr>
          <a:picLocks noChangeAspect="1"/>
        </xdr:cNvPicPr>
      </xdr:nvPicPr>
      <xdr:blipFill>
        <a:blip xmlns:r="http://schemas.openxmlformats.org/officeDocument/2006/relationships" r:embed="rId8"/>
        <a:stretch>
          <a:fillRect/>
        </a:stretch>
      </xdr:blipFill>
      <xdr:spPr>
        <a:xfrm>
          <a:off x="130628" y="9100457"/>
          <a:ext cx="9447619" cy="1276190"/>
        </a:xfrm>
        <a:prstGeom prst="rect">
          <a:avLst/>
        </a:prstGeom>
      </xdr:spPr>
    </xdr:pic>
    <xdr:clientData/>
  </xdr:twoCellAnchor>
  <xdr:twoCellAnchor editAs="oneCell">
    <xdr:from>
      <xdr:col>0</xdr:col>
      <xdr:colOff>119742</xdr:colOff>
      <xdr:row>56</xdr:row>
      <xdr:rowOff>76199</xdr:rowOff>
    </xdr:from>
    <xdr:to>
      <xdr:col>15</xdr:col>
      <xdr:colOff>337647</xdr:colOff>
      <xdr:row>64</xdr:row>
      <xdr:rowOff>52885</xdr:rowOff>
    </xdr:to>
    <xdr:pic>
      <xdr:nvPicPr>
        <xdr:cNvPr id="10" name="图片 9">
          <a:extLst>
            <a:ext uri="{FF2B5EF4-FFF2-40B4-BE49-F238E27FC236}">
              <a16:creationId xmlns:a16="http://schemas.microsoft.com/office/drawing/2014/main" id="{00000000-0008-0000-2700-00000A000000}"/>
            </a:ext>
          </a:extLst>
        </xdr:cNvPr>
        <xdr:cNvPicPr>
          <a:picLocks noChangeAspect="1"/>
        </xdr:cNvPicPr>
      </xdr:nvPicPr>
      <xdr:blipFill>
        <a:blip xmlns:r="http://schemas.openxmlformats.org/officeDocument/2006/relationships" r:embed="rId9"/>
        <a:stretch>
          <a:fillRect/>
        </a:stretch>
      </xdr:blipFill>
      <xdr:spPr>
        <a:xfrm>
          <a:off x="119742" y="10439399"/>
          <a:ext cx="9361905" cy="1457143"/>
        </a:xfrm>
        <a:prstGeom prst="rect">
          <a:avLst/>
        </a:prstGeom>
      </xdr:spPr>
    </xdr:pic>
    <xdr:clientData/>
  </xdr:twoCellAnchor>
  <xdr:twoCellAnchor editAs="oneCell">
    <xdr:from>
      <xdr:col>0</xdr:col>
      <xdr:colOff>43543</xdr:colOff>
      <xdr:row>64</xdr:row>
      <xdr:rowOff>54428</xdr:rowOff>
    </xdr:from>
    <xdr:to>
      <xdr:col>15</xdr:col>
      <xdr:colOff>13829</xdr:colOff>
      <xdr:row>67</xdr:row>
      <xdr:rowOff>108780</xdr:rowOff>
    </xdr:to>
    <xdr:pic>
      <xdr:nvPicPr>
        <xdr:cNvPr id="11" name="图片 10">
          <a:extLst>
            <a:ext uri="{FF2B5EF4-FFF2-40B4-BE49-F238E27FC236}">
              <a16:creationId xmlns:a16="http://schemas.microsoft.com/office/drawing/2014/main" id="{00000000-0008-0000-2700-00000B000000}"/>
            </a:ext>
          </a:extLst>
        </xdr:cNvPr>
        <xdr:cNvPicPr>
          <a:picLocks noChangeAspect="1"/>
        </xdr:cNvPicPr>
      </xdr:nvPicPr>
      <xdr:blipFill>
        <a:blip xmlns:r="http://schemas.openxmlformats.org/officeDocument/2006/relationships" r:embed="rId10"/>
        <a:stretch>
          <a:fillRect/>
        </a:stretch>
      </xdr:blipFill>
      <xdr:spPr>
        <a:xfrm>
          <a:off x="43543" y="11898085"/>
          <a:ext cx="9114286" cy="609524"/>
        </a:xfrm>
        <a:prstGeom prst="rect">
          <a:avLst/>
        </a:prstGeom>
      </xdr:spPr>
    </xdr:pic>
    <xdr:clientData/>
  </xdr:twoCellAnchor>
  <xdr:twoCellAnchor editAs="oneCell">
    <xdr:from>
      <xdr:col>0</xdr:col>
      <xdr:colOff>87086</xdr:colOff>
      <xdr:row>68</xdr:row>
      <xdr:rowOff>21770</xdr:rowOff>
    </xdr:from>
    <xdr:to>
      <xdr:col>15</xdr:col>
      <xdr:colOff>438324</xdr:colOff>
      <xdr:row>75</xdr:row>
      <xdr:rowOff>88275</xdr:rowOff>
    </xdr:to>
    <xdr:pic>
      <xdr:nvPicPr>
        <xdr:cNvPr id="12" name="图片 11">
          <a:extLst>
            <a:ext uri="{FF2B5EF4-FFF2-40B4-BE49-F238E27FC236}">
              <a16:creationId xmlns:a16="http://schemas.microsoft.com/office/drawing/2014/main" id="{00000000-0008-0000-2700-00000C000000}"/>
            </a:ext>
          </a:extLst>
        </xdr:cNvPr>
        <xdr:cNvPicPr>
          <a:picLocks noChangeAspect="1"/>
        </xdr:cNvPicPr>
      </xdr:nvPicPr>
      <xdr:blipFill>
        <a:blip xmlns:r="http://schemas.openxmlformats.org/officeDocument/2006/relationships" r:embed="rId11"/>
        <a:stretch>
          <a:fillRect/>
        </a:stretch>
      </xdr:blipFill>
      <xdr:spPr>
        <a:xfrm>
          <a:off x="87086" y="12605656"/>
          <a:ext cx="9495238" cy="1361905"/>
        </a:xfrm>
        <a:prstGeom prst="rect">
          <a:avLst/>
        </a:prstGeom>
      </xdr:spPr>
    </xdr:pic>
    <xdr:clientData/>
  </xdr:twoCellAnchor>
  <xdr:twoCellAnchor editAs="oneCell">
    <xdr:from>
      <xdr:col>0</xdr:col>
      <xdr:colOff>21771</xdr:colOff>
      <xdr:row>76</xdr:row>
      <xdr:rowOff>32657</xdr:rowOff>
    </xdr:from>
    <xdr:to>
      <xdr:col>15</xdr:col>
      <xdr:colOff>373009</xdr:colOff>
      <xdr:row>84</xdr:row>
      <xdr:rowOff>37914</xdr:rowOff>
    </xdr:to>
    <xdr:pic>
      <xdr:nvPicPr>
        <xdr:cNvPr id="13" name="图片 12">
          <a:extLst>
            <a:ext uri="{FF2B5EF4-FFF2-40B4-BE49-F238E27FC236}">
              <a16:creationId xmlns:a16="http://schemas.microsoft.com/office/drawing/2014/main" id="{00000000-0008-0000-2700-00000D000000}"/>
            </a:ext>
          </a:extLst>
        </xdr:cNvPr>
        <xdr:cNvPicPr>
          <a:picLocks noChangeAspect="1"/>
        </xdr:cNvPicPr>
      </xdr:nvPicPr>
      <xdr:blipFill>
        <a:blip xmlns:r="http://schemas.openxmlformats.org/officeDocument/2006/relationships" r:embed="rId12"/>
        <a:stretch>
          <a:fillRect/>
        </a:stretch>
      </xdr:blipFill>
      <xdr:spPr>
        <a:xfrm>
          <a:off x="21771" y="14097000"/>
          <a:ext cx="9495238" cy="1485714"/>
        </a:xfrm>
        <a:prstGeom prst="rect">
          <a:avLst/>
        </a:prstGeom>
      </xdr:spPr>
    </xdr:pic>
    <xdr:clientData/>
  </xdr:twoCellAnchor>
  <xdr:twoCellAnchor editAs="oneCell">
    <xdr:from>
      <xdr:col>0</xdr:col>
      <xdr:colOff>0</xdr:colOff>
      <xdr:row>85</xdr:row>
      <xdr:rowOff>54429</xdr:rowOff>
    </xdr:from>
    <xdr:to>
      <xdr:col>15</xdr:col>
      <xdr:colOff>494095</xdr:colOff>
      <xdr:row>118</xdr:row>
      <xdr:rowOff>147543</xdr:rowOff>
    </xdr:to>
    <xdr:pic>
      <xdr:nvPicPr>
        <xdr:cNvPr id="14" name="图片 13">
          <a:extLst>
            <a:ext uri="{FF2B5EF4-FFF2-40B4-BE49-F238E27FC236}">
              <a16:creationId xmlns:a16="http://schemas.microsoft.com/office/drawing/2014/main" id="{00000000-0008-0000-2700-00000E000000}"/>
            </a:ext>
          </a:extLst>
        </xdr:cNvPr>
        <xdr:cNvPicPr>
          <a:picLocks noChangeAspect="1"/>
        </xdr:cNvPicPr>
      </xdr:nvPicPr>
      <xdr:blipFill>
        <a:blip xmlns:r="http://schemas.openxmlformats.org/officeDocument/2006/relationships" r:embed="rId13"/>
        <a:stretch>
          <a:fillRect/>
        </a:stretch>
      </xdr:blipFill>
      <xdr:spPr>
        <a:xfrm>
          <a:off x="0" y="15784286"/>
          <a:ext cx="9638095" cy="620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39" customWidth="1"/>
    <col min="2" max="2" width="78.21875" style="2840" customWidth="1"/>
    <col min="3" max="18" width="9" style="2834"/>
    <col min="19" max="19" width="17.88671875" style="2834" customWidth="1"/>
    <col min="20" max="51" width="9" style="2834"/>
    <col min="52" max="52" width="13.21875" style="2834" customWidth="1"/>
    <col min="53" max="53" width="13.44140625" style="2834" bestFit="1" customWidth="1"/>
    <col min="54" max="54" width="11.6640625" style="2834" bestFit="1" customWidth="1"/>
    <col min="55" max="55" width="13.44140625" style="2834" bestFit="1" customWidth="1"/>
    <col min="56" max="16384" width="9" style="2834"/>
  </cols>
  <sheetData>
    <row r="1" spans="1:55" s="2845" customFormat="1" ht="16.2" thickBot="1">
      <c r="A1" s="2843" t="s">
        <v>2652</v>
      </c>
      <c r="B1" s="2844" t="s">
        <v>2749</v>
      </c>
    </row>
    <row r="2" spans="1:55" s="2848" customFormat="1" ht="16.2" thickTop="1">
      <c r="A2" s="2846" t="s">
        <v>2656</v>
      </c>
      <c r="B2" s="2847" t="str">
        <f>'预评函-封皮'!B37</f>
        <v>重庆市潼南区梓潼街道办凉风垭C2-3-04（1）号地块出让国有建设用地使用权抵押价格预评估</v>
      </c>
      <c r="AX2" s="2849"/>
      <c r="AZ2" s="2849"/>
      <c r="BA2" s="2850"/>
      <c r="BC2" s="2850"/>
    </row>
    <row r="3" spans="1:55" s="2851" customFormat="1">
      <c r="A3" s="2830" t="s">
        <v>2657</v>
      </c>
      <c r="B3" s="2833">
        <f>'预评函-封皮'!B40</f>
        <v>0</v>
      </c>
    </row>
    <row r="4" spans="1:55" s="2832" customFormat="1">
      <c r="A4" s="2830" t="s">
        <v>2658</v>
      </c>
      <c r="B4" s="2831" t="str">
        <f>'预评函-封皮'!B46</f>
        <v>土地估价师、土地估价师</v>
      </c>
      <c r="N4" s="2832" t="str">
        <f>'预评函-1'!A28</f>
        <v>本次估价的“抵押净值”是指估价对象“抵押价格”减去估价对象在估价期日以“土地销售收入”为基数计算的预计抵押权实现进行处置时需缴纳的各项费用、税金等相关费用后的价格。</v>
      </c>
    </row>
    <row r="5" spans="1:55" s="2845" customFormat="1" ht="16.2" thickBot="1">
      <c r="A5" s="2852" t="s">
        <v>2659</v>
      </c>
      <c r="B5" s="2853" t="str">
        <f>'预评函-封皮'!B49</f>
        <v>康正预评字号</v>
      </c>
    </row>
    <row r="6" spans="1:55" s="2854" customFormat="1" ht="16.2" thickTop="1">
      <c r="A6" s="2846" t="s">
        <v>2701</v>
      </c>
      <c r="B6" s="2847" t="str">
        <f>'预评函-1'!A4</f>
        <v>受贵公司委托，我公司对重庆市潼南区梓潼街道办凉风垭C2-3-04（1）号地块出让国有建设用地使用权抵押价格进行了预评估。</v>
      </c>
      <c r="AM6" s="2855"/>
    </row>
    <row r="7" spans="1:55" s="2829" customFormat="1">
      <c r="A7" s="2830" t="s">
        <v>2653</v>
      </c>
      <c r="B7" s="2831" t="str">
        <f>'预评函-1'!A6</f>
        <v>估价对象为重庆盛皇房地产开发有限公司使用的、位于重庆市潼南区梓潼街道办凉风垭C2-3-04（1）号地块出让国有建设用地使用权。根据《国有土地使用证》[]，估价对象（分摊）出让国有建设用地使用权面积为22322.4平方米。根据《建设工程规划许可证》[]、《出让合同》[]，估价对象规划建筑面积为167887.58平方米。</v>
      </c>
    </row>
    <row r="8" spans="1:55" s="2829" customFormat="1">
      <c r="A8" s="2830" t="s">
        <v>2654</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2704</v>
      </c>
      <c r="B9" s="2831" t="str">
        <f>'预评函-1'!A9</f>
        <v>委托估价方在向金融机构（光大信托）办理贷款手续过程中，特委托北京康正宏基房地产评估有限公司对估价对象进行评估。本次评估为确定标的物之抵押贷款额度提供参考依据而评估出让国有建设用地使用权抵押价格。</v>
      </c>
    </row>
    <row r="10" spans="1:55" s="2829" customFormat="1">
      <c r="A10" s="2830" t="s">
        <v>2655</v>
      </c>
      <c r="B10" s="2831" t="str">
        <f>'预评函-1'!A11</f>
        <v>2020年2月28日（评估专业人员勘察现场之日）</v>
      </c>
    </row>
    <row r="11" spans="1:55" s="2829" customFormat="1">
      <c r="A11" s="2830" t="s">
        <v>2661</v>
      </c>
      <c r="B11" s="2831" t="str">
        <f>'预评函-1'!A14</f>
        <v>根据《国有土地使用证》[]，本次评估估价对象证载（地类）用途为住宅。</v>
      </c>
    </row>
    <row r="12" spans="1:55" s="2829" customFormat="1">
      <c r="A12" s="2830" t="s">
        <v>2662</v>
      </c>
      <c r="B12" s="2831" t="str">
        <f>'预评函-1'!A15</f>
        <v>本次评估设定用途即为证载用途住宅。</v>
      </c>
    </row>
    <row r="13" spans="1:55" s="2829" customFormat="1">
      <c r="A13" s="2830" t="s">
        <v>2663</v>
      </c>
      <c r="B13" s="2831" t="str">
        <f>'预评函-1'!A17</f>
        <v>根据委托估价方介绍及评估专业人员现场勘查，本次评估估价对象实际土地开发程度为红线外市政基础设施达“七通”（即、、、、、、）、宗地红线内场地平整。</v>
      </c>
    </row>
    <row r="14" spans="1:55" s="2829" customFormat="1">
      <c r="A14" s="2830" t="s">
        <v>2664</v>
      </c>
      <c r="B14" s="2831" t="str">
        <f>'预评函-1'!A18</f>
        <v>。本次评估设定土地开发程度为红线外市政基础设施达“七通”、宗地红线内场地平整。</v>
      </c>
    </row>
    <row r="15" spans="1:55" s="2829" customFormat="1">
      <c r="A15" s="2830" t="s">
        <v>2660</v>
      </c>
      <c r="B15" s="2831" t="str">
        <f>'预评函-1'!A20</f>
        <v>根据《国有土地使用证》[]，估价对象（分摊）出让国有建设用地使用权面积为22322.4平方米。根据《建设工程规划许可证》[]、《出让合同》[]，估价对象规划建筑面积为167887.58平方米。</v>
      </c>
    </row>
    <row r="16" spans="1:55" s="2829" customFormat="1">
      <c r="A16" s="2830" t="s">
        <v>2665</v>
      </c>
      <c r="B16" s="2831" t="str">
        <f>'预评函-1'!A22</f>
        <v>本次估价对象为出让国有建设用地使用权，《国有土地使用证》[]证载土地终止日期为住宅2063年12月3日、商业2053年12月3日地下车库2063年12月3日。截至估价期日，出让国有建设用地使用权剩余土地使用年限为。</v>
      </c>
    </row>
    <row r="17" spans="1:48" s="2829" customFormat="1">
      <c r="A17" s="2830" t="s">
        <v>2666</v>
      </c>
      <c r="B17" s="2831" t="str">
        <f>'预评函-1'!A23</f>
        <v>本次评估设定估价对象剩余土地使用年限为。</v>
      </c>
    </row>
    <row r="18" spans="1:48" s="2829" customFormat="1">
      <c r="A18" s="2830" t="s">
        <v>2667</v>
      </c>
      <c r="B18" s="2831" t="str">
        <f>'预评函-1'!A25</f>
        <v>本次估价的“出让国有建设用地使用权价格”是指在估价对象土地所有权为国家所有，使用权性质为出让，在公开市场条件下、于估价期日2020年2月28日，在规划利用条件下、设定土地开发程度为红线外“七通”、宗地内场地，设定用途为住宅，剩余土地使用年限为的出让国有建设用地使用权价格。</v>
      </c>
    </row>
    <row r="19" spans="1:48" s="2829" customFormat="1">
      <c r="A19" s="2830" t="s">
        <v>2668</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2669</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6.2" thickBot="1">
      <c r="A21" s="2852" t="s">
        <v>2670</v>
      </c>
      <c r="B21" s="2853"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41" t="s">
        <v>2671</v>
      </c>
      <c r="B22" s="284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0" t="s">
        <v>2672</v>
      </c>
      <c r="B23" s="2831" t="str">
        <f>'预评函-2'!K2</f>
        <v>估价期日：2020年2月28日</v>
      </c>
    </row>
    <row r="24" spans="1:48">
      <c r="A24" s="2830" t="s">
        <v>2673</v>
      </c>
      <c r="B24" s="2831" t="str">
        <f>'预评函-2'!R2</f>
        <v>估价期日的国有建设用地使用权性质：出让</v>
      </c>
    </row>
    <row r="25" spans="1:48">
      <c r="A25" s="2830" t="s">
        <v>2729</v>
      </c>
      <c r="B25" s="2831" t="str">
        <f>'预评函-2'!A3</f>
        <v>估价期日土地使用者</v>
      </c>
    </row>
    <row r="26" spans="1:48">
      <c r="A26" s="2830" t="s">
        <v>2705</v>
      </c>
      <c r="B26" s="2831" t="str">
        <f>'预评函-2'!A5</f>
        <v>中信开发</v>
      </c>
    </row>
    <row r="27" spans="1:48">
      <c r="A27" s="2830" t="s">
        <v>2730</v>
      </c>
      <c r="B27" s="2831" t="str">
        <f>'预评函-2'!B3</f>
        <v>宗地编号/不动产单元号</v>
      </c>
    </row>
    <row r="28" spans="1:48">
      <c r="A28" s="2830" t="s">
        <v>2706</v>
      </c>
      <c r="B28" s="2831" t="str">
        <f>'预评函-2'!B5</f>
        <v>11111111111</v>
      </c>
    </row>
    <row r="29" spans="1:48">
      <c r="A29" s="2830" t="s">
        <v>2732</v>
      </c>
      <c r="B29" s="2831">
        <f>'预评函-2'!C5</f>
        <v>22</v>
      </c>
    </row>
    <row r="30" spans="1:48">
      <c r="A30" s="2830" t="s">
        <v>2733</v>
      </c>
      <c r="B30" s="2831" t="str">
        <f>'预评函-2'!D3</f>
        <v>土地使用证编号/不动产权证书编号</v>
      </c>
    </row>
    <row r="31" spans="1:48">
      <c r="A31" s="2830" t="s">
        <v>2707</v>
      </c>
      <c r="B31" s="2831" t="str">
        <f>'预评函-2'!D5</f>
        <v>京国土字第111号</v>
      </c>
    </row>
    <row r="32" spans="1:48">
      <c r="A32" s="2830" t="s">
        <v>2708</v>
      </c>
      <c r="B32" s="2831" t="str">
        <f>'预评函-2'!E5</f>
        <v>住宅</v>
      </c>
      <c r="AV32" s="2835"/>
    </row>
    <row r="33" spans="1:2">
      <c r="A33" s="2830" t="s">
        <v>2709</v>
      </c>
      <c r="B33" s="2831">
        <f>'预评函-2'!F5</f>
        <v>258</v>
      </c>
    </row>
    <row r="34" spans="1:2">
      <c r="A34" s="2830" t="s">
        <v>2710</v>
      </c>
      <c r="B34" s="2831" t="str">
        <f>'预评函-2'!G5</f>
        <v>住宅</v>
      </c>
    </row>
    <row r="35" spans="1:2">
      <c r="A35" s="2830" t="s">
        <v>2711</v>
      </c>
      <c r="B35" s="2831">
        <f>'预评函-2'!H5</f>
        <v>1.5</v>
      </c>
    </row>
    <row r="36" spans="1:2">
      <c r="A36" s="2830" t="s">
        <v>2712</v>
      </c>
      <c r="B36" s="2831">
        <f>'预评函-2'!I5</f>
        <v>1.5</v>
      </c>
    </row>
    <row r="37" spans="1:2">
      <c r="A37" s="2830" t="s">
        <v>2713</v>
      </c>
      <c r="B37" s="2831">
        <f>'预评函-2'!J5</f>
        <v>1.5</v>
      </c>
    </row>
    <row r="38" spans="1:2">
      <c r="A38" s="2830" t="s">
        <v>2714</v>
      </c>
      <c r="B38" s="2831" t="str">
        <f>'预评函-2'!K5</f>
        <v>红线外七通、宗地红线内</v>
      </c>
    </row>
    <row r="39" spans="1:2">
      <c r="A39" s="2830" t="s">
        <v>2715</v>
      </c>
      <c r="B39" s="2831" t="str">
        <f>'预评函-2'!L5</f>
        <v>红线外七通、宗地红线内场地</v>
      </c>
    </row>
    <row r="40" spans="1:2">
      <c r="A40" s="2830" t="s">
        <v>2734</v>
      </c>
      <c r="B40" s="2831" t="str">
        <f>'预评函-2'!M3</f>
        <v>（剩余）土地使用年限/年</v>
      </c>
    </row>
    <row r="41" spans="1:2">
      <c r="A41" s="2830" t="s">
        <v>2716</v>
      </c>
      <c r="B41" s="2831">
        <f>'预评函-2'!M5</f>
        <v>0</v>
      </c>
    </row>
    <row r="42" spans="1:2">
      <c r="A42" s="2830" t="s">
        <v>2735</v>
      </c>
      <c r="B42" s="2831" t="str">
        <f>'预评函-2'!N3</f>
        <v>（分摊）出让国有建设用地使用权面积/㎡</v>
      </c>
    </row>
    <row r="43" spans="1:2">
      <c r="A43" s="2830" t="s">
        <v>2717</v>
      </c>
      <c r="B43" s="2831">
        <f>'预评函-2'!N5</f>
        <v>22322.400000000001</v>
      </c>
    </row>
    <row r="44" spans="1:2">
      <c r="A44" s="2830" t="s">
        <v>2736</v>
      </c>
      <c r="B44" s="2831" t="str">
        <f>'预评函-2'!O3</f>
        <v>规划建筑面积/㎡</v>
      </c>
    </row>
    <row r="45" spans="1:2">
      <c r="A45" s="2830" t="s">
        <v>2718</v>
      </c>
      <c r="B45" s="2831">
        <f>'预评函-2'!O5</f>
        <v>167887.58000000002</v>
      </c>
    </row>
    <row r="46" spans="1:2">
      <c r="A46" s="2830" t="s">
        <v>2719</v>
      </c>
      <c r="B46" s="2831">
        <f ca="1">'预评函-2'!P5</f>
        <v>7493</v>
      </c>
    </row>
    <row r="47" spans="1:2">
      <c r="A47" s="2830" t="s">
        <v>2720</v>
      </c>
      <c r="B47" s="2831">
        <f ca="1">'预评函-2'!Q5</f>
        <v>996</v>
      </c>
    </row>
    <row r="48" spans="1:2">
      <c r="A48" s="2830" t="s">
        <v>2721</v>
      </c>
      <c r="B48" s="2831">
        <f ca="1">'预评函-2'!R5</f>
        <v>16726</v>
      </c>
    </row>
    <row r="49" spans="1:2">
      <c r="A49" s="2830" t="s">
        <v>2737</v>
      </c>
      <c r="B49" s="2831" t="str">
        <f>'预评函-2'!A6</f>
        <v>抵押价格</v>
      </c>
    </row>
    <row r="50" spans="1:2">
      <c r="A50" s="2830" t="s">
        <v>2722</v>
      </c>
      <c r="B50" s="2831">
        <f ca="1">'预评函-2'!R6</f>
        <v>16726</v>
      </c>
    </row>
    <row r="51" spans="1:2">
      <c r="A51" s="2830" t="s">
        <v>2738</v>
      </c>
      <c r="B51" s="2831" t="str">
        <f>'预评函-2'!A7</f>
        <v>——</v>
      </c>
    </row>
    <row r="52" spans="1:2">
      <c r="A52" s="2830" t="s">
        <v>2723</v>
      </c>
      <c r="B52" s="2831" t="str">
        <f>'预评函-2'!R7</f>
        <v>——</v>
      </c>
    </row>
    <row r="53" spans="1:2">
      <c r="A53" s="2830" t="s">
        <v>2739</v>
      </c>
      <c r="B53" s="2831">
        <f>'预评函-2'!A8</f>
        <v>0</v>
      </c>
    </row>
    <row r="54" spans="1:2" s="2845" customFormat="1" ht="16.2" thickBot="1">
      <c r="A54" s="2852" t="s">
        <v>2724</v>
      </c>
      <c r="B54" s="2853" t="str">
        <f>'预评函-2'!R8</f>
        <v>——</v>
      </c>
    </row>
    <row r="55" spans="1:2" ht="16.2" thickTop="1">
      <c r="A55" s="2841" t="s">
        <v>2674</v>
      </c>
      <c r="B55" s="2842" t="str">
        <f>'预评函-3'!A2</f>
        <v>1.权利限制：根据估价对象《不动产权证书》原件、《国有土地使用权》复印件，截至估价期日，估价对象抵押权未见登记。未设定租赁等其他他项权利。</v>
      </c>
    </row>
    <row r="56" spans="1:2">
      <c r="A56" s="2830" t="s">
        <v>2675</v>
      </c>
      <c r="B56" s="2831" t="str">
        <f>'预评函-3'!A3</f>
        <v>2.基础设施条件：估价对象实际开发程度为红线外七通、宗地红线内；本次评估设定开发程度为红线外七通、宗地红线内场地。</v>
      </c>
    </row>
    <row r="57" spans="1:2">
      <c r="A57" s="2830" t="s">
        <v>2676</v>
      </c>
      <c r="B57" s="2831" t="str">
        <f>'预评函-3'!A4</f>
        <v>3.估价规划限制条件：详见《建设工程规划许可证》[]、《出让合同》[]。</v>
      </c>
    </row>
    <row r="58" spans="1:2" s="2845" customFormat="1" ht="16.2" thickBot="1">
      <c r="A58" s="2852" t="s">
        <v>2725</v>
      </c>
      <c r="B58" s="2853" t="str">
        <f>'预评函-3'!A5</f>
        <v>4.影响价格的其他限定条件：无。</v>
      </c>
    </row>
    <row r="59" spans="1:2" ht="16.2" thickTop="1">
      <c r="A59" s="2841" t="s">
        <v>2677</v>
      </c>
      <c r="B59" s="2842" t="str">
        <f>'预评函-3'!A8</f>
        <v>2.本《评估意见函》仅供金融机构进行内部审核使用，不做其他目的之用。</v>
      </c>
    </row>
    <row r="60" spans="1:2">
      <c r="A60" s="2830" t="s">
        <v>2678</v>
      </c>
      <c r="B60" s="2831" t="str">
        <f>'预评函-3'!A9</f>
        <v>3.抵押双方在办理抵押登记手续时，应使用本公司出具的正式《土地估价报告》，特提请报告使用者注意。</v>
      </c>
    </row>
    <row r="61" spans="1:2">
      <c r="A61" s="2830" t="s">
        <v>2680</v>
      </c>
      <c r="B61" s="2831" t="str">
        <f>'预评函-3'!A10</f>
        <v>4.估价师所知悉的法定优先受偿款情况为：</v>
      </c>
    </row>
    <row r="62" spans="1:2">
      <c r="A62" s="2830" t="s">
        <v>2679</v>
      </c>
      <c r="B62" s="283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0" t="s">
        <v>2681</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2682</v>
      </c>
      <c r="B64" s="2836" t="str">
        <f>'预评函-3'!A13</f>
        <v>（3）。</v>
      </c>
    </row>
    <row r="65" spans="1:2">
      <c r="A65" s="2830" t="s">
        <v>2683</v>
      </c>
      <c r="B65" s="2837" t="str">
        <f>'预评函-3'!A14</f>
        <v>综上，本次评估不存在估价师知悉的法定优先受偿款</v>
      </c>
    </row>
    <row r="66" spans="1:2">
      <c r="A66" s="2830" t="s">
        <v>2684</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2685</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6.2" thickBot="1">
      <c r="A68" s="2852" t="s">
        <v>2688</v>
      </c>
      <c r="B68" s="2856">
        <f>'预评函-3'!D30</f>
        <v>42558</v>
      </c>
    </row>
    <row r="69" spans="1:2" ht="16.2" thickTop="1">
      <c r="A69" s="2841" t="s">
        <v>2686</v>
      </c>
      <c r="B69" s="2842" t="str">
        <f>'预评函-3'!A20</f>
        <v>土地估价师</v>
      </c>
    </row>
    <row r="70" spans="1:2">
      <c r="A70" s="2830" t="s">
        <v>2686</v>
      </c>
      <c r="B70" s="2837">
        <f>'预评函-3'!B20</f>
        <v>0</v>
      </c>
    </row>
    <row r="71" spans="1:2">
      <c r="A71" s="2830" t="s">
        <v>2687</v>
      </c>
      <c r="B71" s="2831" t="str">
        <f>'预评函-3'!A21</f>
        <v>土地估价师</v>
      </c>
    </row>
    <row r="72" spans="1:2" s="2845" customFormat="1" ht="16.2" thickBot="1">
      <c r="A72" s="2852" t="s">
        <v>2687</v>
      </c>
      <c r="B72" s="2858">
        <f>'预评函-3'!B21</f>
        <v>0</v>
      </c>
    </row>
    <row r="73" spans="1:2" ht="16.2" thickTop="1">
      <c r="A73" s="2841" t="s">
        <v>2746</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2747</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6.2" thickBot="1">
      <c r="A75" s="2852" t="s">
        <v>2748</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39" t="s">
        <v>2783</v>
      </c>
      <c r="B76" s="2840"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4.4"/>
  <cols>
    <col min="1" max="1" width="3.44140625" style="1640" customWidth="1"/>
    <col min="2" max="2" width="10.77734375" style="1640" customWidth="1"/>
    <col min="3" max="4" width="11.6640625" style="1640" customWidth="1"/>
    <col min="5" max="5" width="6.6640625" style="1640" customWidth="1"/>
    <col min="6" max="16384" width="9" style="1640"/>
  </cols>
  <sheetData>
    <row r="36" spans="1:9">
      <c r="A36" s="1639" t="s">
        <v>1900</v>
      </c>
      <c r="B36" s="1639" t="s">
        <v>1901</v>
      </c>
    </row>
    <row r="37" spans="1:9" ht="28.5" customHeight="1">
      <c r="A37" s="1639"/>
      <c r="B37" s="3291" t="str">
        <f>项目基本情况!B1</f>
        <v>重庆市潼南区梓潼街道办凉风垭C2-3-04（1）号地块出让国有建设用地使用权抵押价格预评估</v>
      </c>
      <c r="C37" s="3291"/>
      <c r="D37" s="3291"/>
      <c r="E37" s="3291"/>
      <c r="F37" s="3291"/>
      <c r="G37" s="3291"/>
      <c r="H37" s="3291"/>
      <c r="I37" s="3291"/>
    </row>
    <row r="38" spans="1:9">
      <c r="A38" s="1641"/>
      <c r="B38" s="1641"/>
    </row>
    <row r="39" spans="1:9">
      <c r="A39" s="1639" t="s">
        <v>1900</v>
      </c>
      <c r="B39" s="1639" t="s">
        <v>2043</v>
      </c>
    </row>
    <row r="40" spans="1:9">
      <c r="A40" s="1639"/>
      <c r="B40" s="1639">
        <f>项目基本情况!B5</f>
        <v>0</v>
      </c>
    </row>
    <row r="41" spans="1:9">
      <c r="A41" s="1639"/>
      <c r="B41" s="1639"/>
    </row>
    <row r="42" spans="1:9">
      <c r="A42" s="1639" t="s">
        <v>1900</v>
      </c>
      <c r="B42" s="1639" t="s">
        <v>2044</v>
      </c>
    </row>
    <row r="43" spans="1:9">
      <c r="A43" s="1639"/>
      <c r="B43" s="1639" t="s">
        <v>1902</v>
      </c>
    </row>
    <row r="44" spans="1:9">
      <c r="A44" s="1639"/>
      <c r="B44" s="1639"/>
    </row>
    <row r="45" spans="1:9">
      <c r="A45" s="1639" t="s">
        <v>1900</v>
      </c>
      <c r="B45" s="1639" t="s">
        <v>2042</v>
      </c>
    </row>
    <row r="46" spans="1:9" s="1639" customFormat="1">
      <c r="B46" s="1639" t="str">
        <f>项目基本情况!K4</f>
        <v>土地估价师、土地估价师</v>
      </c>
    </row>
    <row r="47" spans="1:9">
      <c r="A47" s="1639"/>
      <c r="B47" s="1639"/>
    </row>
    <row r="48" spans="1:9">
      <c r="A48" s="1639" t="s">
        <v>1900</v>
      </c>
      <c r="B48" s="1639" t="s">
        <v>2045</v>
      </c>
    </row>
    <row r="49" spans="2:2">
      <c r="B49" s="1639" t="str">
        <f>"康正预评字"&amp;项目基本情况!B2&amp;"号"</f>
        <v>康正预评字号</v>
      </c>
    </row>
  </sheetData>
  <sheetProtection sheet="1" objects="1" scenarios="1" formatCells="0" formatRows="0"/>
  <mergeCells count="1">
    <mergeCell ref="B37:I37"/>
  </mergeCells>
  <phoneticPr fontId="14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1" customWidth="1"/>
    <col min="2" max="2" width="9" style="1761"/>
    <col min="3" max="4" width="9.6640625" style="1761" customWidth="1"/>
    <col min="5" max="16384" width="9" style="1761"/>
  </cols>
  <sheetData>
    <row r="1" spans="1:4" ht="22.2">
      <c r="A1" s="1760" t="s">
        <v>1903</v>
      </c>
    </row>
    <row r="2" spans="1:4">
      <c r="A2" s="1762"/>
    </row>
    <row r="3" spans="1:4" ht="17.399999999999999">
      <c r="A3" s="1780" t="str">
        <f>项目基本情况!B5&amp;"："</f>
        <v>：</v>
      </c>
    </row>
    <row r="4" spans="1:4" ht="34.799999999999997">
      <c r="A4" s="1774" t="str">
        <f>"受贵公司委托，我公司对"&amp;项目基本情况!K2&amp;项目基本情况!B9&amp;"进行了预评估。"</f>
        <v>受贵公司委托，我公司对重庆市潼南区梓潼街道办凉风垭C2-3-04（1）号地块出让国有建设用地使用权抵押价格进行了预评估。</v>
      </c>
    </row>
    <row r="5" spans="1:4" ht="17.399999999999999">
      <c r="A5" s="1777" t="s">
        <v>1904</v>
      </c>
    </row>
    <row r="6" spans="1:4" ht="87">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重庆盛皇房地产开发有限公司使用的、位于重庆市潼南区梓潼街道办凉风垭C2-3-04（1）号地块出让国有建设用地使用权。根据《国有土地使用证》[]，估价对象（分摊）出让国有建设用地使用权面积为22322.4平方米。根据《建设工程规划许可证》[]、《出让合同》[]，估价对象规划建筑面积为167887.58平方米。</v>
      </c>
    </row>
    <row r="7" spans="1:4" ht="52.2">
      <c r="A7" s="1778" t="s">
        <v>2743</v>
      </c>
    </row>
    <row r="8" spans="1:4" ht="17.399999999999999">
      <c r="A8" s="1777" t="s">
        <v>1905</v>
      </c>
    </row>
    <row r="9" spans="1:4" ht="69.599999999999994">
      <c r="A9" s="1779" t="str">
        <f>IF(项目基本情况!B8="抵押",IF(项目基本情况!B5=项目基本情况!B6,定义!C51,定义!B51),定义!D51)</f>
        <v>委托估价方在向金融机构（光大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0" t="s">
        <v>2023</v>
      </c>
    </row>
    <row r="11" spans="1:4" ht="17.399999999999999">
      <c r="A11" s="1763" t="str">
        <f>TEXT(项目基本情况!D3,"yyyy年m月d日;;")&amp;IF(项目基本情况!B3=项目基本情况!D3,"（评估专业人员勘察现场之日）","")</f>
        <v>2020年2月28日（评估专业人员勘察现场之日）</v>
      </c>
    </row>
    <row r="12" spans="1:4" ht="17.399999999999999">
      <c r="A12" s="1780" t="s">
        <v>2022</v>
      </c>
    </row>
    <row r="13" spans="1:4" ht="17.399999999999999">
      <c r="A13" s="1774" t="s">
        <v>2935</v>
      </c>
    </row>
    <row r="14" spans="1:4" ht="34.799999999999997">
      <c r="A14" s="1774" t="str">
        <f>"根据"&amp;项目基本情况!F12&amp;"，本次评估估价对象证载（地类）用途为"&amp;项目基本情况!B12&amp;"。"</f>
        <v>根据《国有土地使用证》[]，本次评估估价对象证载（地类）用途为住宅。</v>
      </c>
      <c r="C14" s="1764"/>
      <c r="D14" s="1765"/>
    </row>
    <row r="15" spans="1:4" ht="17.399999999999999">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64"/>
      <c r="D15" s="1765"/>
    </row>
    <row r="16" spans="1:4" ht="17.399999999999999">
      <c r="A16" s="1774" t="s">
        <v>2069</v>
      </c>
    </row>
    <row r="17" spans="1:1" ht="52.2">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4" t="s">
        <v>2070</v>
      </c>
    </row>
    <row r="20" spans="1:1" ht="52.2">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根据《国有土地使用证》[]，估价对象（分摊）出让国有建设用地使用权面积为22322.4平方米。根据《建设工程规划许可证》[]、《出让合同》[]，估价对象规划建筑面积为167887.58平方米。</v>
      </c>
    </row>
    <row r="21" spans="1:1" ht="17.399999999999999">
      <c r="A21" s="1774" t="s">
        <v>2071</v>
      </c>
    </row>
    <row r="22" spans="1:1" ht="69.599999999999994">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本次估价对象为出让国有建设用地使用权，《国有土地使用证》[]证载土地终止日期为住宅2063年12月3日、商业2053年12月3日地下车库2063年12月3日。截至估价期日，出让国有建设用地使用权剩余土地使用年限为。</v>
      </c>
    </row>
    <row r="23" spans="1:1" ht="17.399999999999999">
      <c r="A23" s="1774" t="str">
        <f>IF(项目基本情况!B16="出让","本次评估设定估价对象剩余土地使用年限为"&amp;项目基本情况!D20&amp;"。","")</f>
        <v>本次评估设定估价对象剩余土地使用年限为。</v>
      </c>
    </row>
    <row r="24" spans="1:1" ht="17.399999999999999">
      <c r="A24" s="1774" t="s">
        <v>2072</v>
      </c>
    </row>
    <row r="25" spans="1:1" ht="87">
      <c r="A25" s="1774" t="str">
        <f>定义!C53</f>
        <v>本次估价的“出让国有建设用地使用权价格”是指在估价对象土地所有权为国家所有，使用权性质为出让，在公开市场条件下、于估价期日2020年2月28日，在规划利用条件下、设定土地开发程度为红线外“七通”、宗地内场地，设定用途为住宅，剩余土地使用年限为的出让国有建设用地使用权价格。</v>
      </c>
    </row>
    <row r="26" spans="1:1" ht="52.2">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0" t="s">
        <v>2024</v>
      </c>
    </row>
    <row r="30" spans="1:1" ht="69.599999999999994">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7.399999999999999">
      <c r="A32" s="1782" t="s">
        <v>2025</v>
      </c>
    </row>
  </sheetData>
  <sheetProtection sheet="1" objects="1" scenarios="1" formatCells="0" formatRows="0" insertRows="0" deleteRows="0"/>
  <phoneticPr fontId="14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1" customWidth="1"/>
    <col min="2" max="2" width="9" style="1761"/>
    <col min="3" max="4" width="9.6640625" style="1761" customWidth="1"/>
    <col min="5" max="16384" width="9" style="1761"/>
  </cols>
  <sheetData>
    <row r="1" spans="1:4" ht="22.2">
      <c r="A1" s="1760" t="s">
        <v>1903</v>
      </c>
    </row>
    <row r="2" spans="1:4">
      <c r="A2" s="1762"/>
    </row>
    <row r="3" spans="1:4" ht="17.399999999999999">
      <c r="A3" s="1780" t="str">
        <f>项目基本情况!B5&amp;"："</f>
        <v>：</v>
      </c>
    </row>
    <row r="4" spans="1:4" ht="34.799999999999997">
      <c r="A4" s="1774" t="str">
        <f>"受贵公司委托，我公司对"&amp;项目基本情况!K2&amp;项目基本情况!B9&amp;"进行了预评估。"</f>
        <v>受贵公司委托，我公司对重庆市潼南区梓潼街道办凉风垭C2-3-04（1）号地块出让国有建设用地使用权抵押价格进行了预评估。</v>
      </c>
    </row>
    <row r="5" spans="1:4" ht="17.399999999999999">
      <c r="A5" s="1777" t="s">
        <v>1904</v>
      </c>
    </row>
    <row r="6" spans="1:4" ht="87">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重庆盛皇房地产开发有限公司使用的、位于重庆市潼南区梓潼街道办凉风垭C2-3-04（1）号地块出让国有建设用地使用权。根据《国有土地使用证》[]，估价对象（分摊）出让国有建设用地使用权面积为22322.4平方米。根据《建设工程规划许可证》[]、《出让合同》[]，估价对象规划建筑面积为167887.58平方米。</v>
      </c>
    </row>
    <row r="7" spans="1:4" ht="87">
      <c r="A7" s="2826" t="s">
        <v>2744</v>
      </c>
    </row>
    <row r="8" spans="1:4" ht="17.399999999999999">
      <c r="A8" s="1777" t="s">
        <v>1905</v>
      </c>
    </row>
    <row r="9" spans="1:4" ht="69.599999999999994">
      <c r="A9" s="1779" t="str">
        <f>IF(项目基本情况!B8="抵押",IF(项目基本情况!B5=项目基本情况!B6,定义!C51,定义!B51),定义!D51)</f>
        <v>委托估价方在向金融机构（光大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80" t="s">
        <v>2023</v>
      </c>
    </row>
    <row r="11" spans="1:4" ht="17.399999999999999">
      <c r="A11" s="1763" t="str">
        <f>TEXT(项目基本情况!D3,"yyyy年m月d日;;")&amp;IF(项目基本情况!B3=项目基本情况!D3,"（评估专业人员勘察现场之日）","")</f>
        <v>2020年2月28日（评估专业人员勘察现场之日）</v>
      </c>
    </row>
    <row r="12" spans="1:4" ht="17.399999999999999">
      <c r="A12" s="1780" t="s">
        <v>2022</v>
      </c>
    </row>
    <row r="13" spans="1:4" ht="17.399999999999999">
      <c r="A13" s="1774" t="s">
        <v>2068</v>
      </c>
    </row>
    <row r="14" spans="1:4" ht="34.799999999999997">
      <c r="A14" s="1774" t="str">
        <f>"根据"&amp;项目基本情况!F12&amp;"，本次评估估价对象证载（地类）用途为"&amp;项目基本情况!B12&amp;"。"</f>
        <v>根据《国有土地使用证》[]，本次评估估价对象证载（地类）用途为住宅。</v>
      </c>
      <c r="C14" s="1764"/>
      <c r="D14" s="1765"/>
    </row>
    <row r="15" spans="1:4" ht="17.399999999999999">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64"/>
      <c r="D15" s="1765"/>
    </row>
    <row r="16" spans="1:4" ht="17.399999999999999">
      <c r="A16" s="1774" t="s">
        <v>2069</v>
      </c>
    </row>
    <row r="17" spans="1:1" ht="52.2">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4" t="s">
        <v>2070</v>
      </c>
    </row>
    <row r="20" spans="1:1" ht="52.2">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根据《国有土地使用证》[]，估价对象（分摊）出让国有建设用地使用权面积为22322.4平方米。根据《建设工程规划许可证》[]、《出让合同》[]，估价对象规划建筑面积为167887.58平方米。</v>
      </c>
    </row>
    <row r="21" spans="1:1" ht="87">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4" t="s">
        <v>2071</v>
      </c>
    </row>
    <row r="23" spans="1:1" ht="17.399999999999999">
      <c r="A23" s="2828" t="s">
        <v>2745</v>
      </c>
    </row>
    <row r="24" spans="1:1" ht="17.399999999999999">
      <c r="A24" s="1774" t="s">
        <v>2072</v>
      </c>
    </row>
    <row r="25" spans="1:1" ht="87">
      <c r="A25" s="1774" t="str">
        <f>定义!C53</f>
        <v>本次估价的“出让国有建设用地使用权价格”是指在估价对象土地所有权为国家所有，使用权性质为出让，在公开市场条件下、于估价期日2020年2月28日，在规划利用条件下、设定土地开发程度为红线外“七通”、宗地内场地，设定用途为住宅，剩余土地使用年限为的出让国有建设用地使用权价格。</v>
      </c>
    </row>
    <row r="26" spans="1:1" ht="52.2">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0" t="s">
        <v>2024</v>
      </c>
    </row>
    <row r="30" spans="1:1" ht="69.599999999999994">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7.399999999999999">
      <c r="A32" s="1782" t="s">
        <v>2025</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95" t="s">
        <v>2035</v>
      </c>
      <c r="B1" s="3295"/>
      <c r="C1" s="3295"/>
      <c r="D1" s="3295"/>
      <c r="E1" s="3295"/>
      <c r="F1" s="3295"/>
      <c r="G1" s="3295"/>
      <c r="H1" s="3295"/>
      <c r="I1" s="3295"/>
      <c r="J1" s="3295"/>
      <c r="K1" s="3295"/>
      <c r="L1" s="3295"/>
      <c r="M1" s="3295"/>
      <c r="N1" s="3295"/>
      <c r="O1" s="3295"/>
      <c r="P1" s="3295"/>
      <c r="Q1" s="3295"/>
      <c r="R1" s="3295"/>
    </row>
    <row r="2" spans="1:18">
      <c r="A2" s="1790" t="s">
        <v>2037</v>
      </c>
      <c r="B2" s="1790"/>
      <c r="C2" s="1790"/>
      <c r="D2" s="1790"/>
      <c r="E2" s="1790"/>
      <c r="F2" s="1790"/>
      <c r="G2" s="1790"/>
      <c r="H2" s="1790"/>
      <c r="I2" s="1791"/>
      <c r="J2" s="1791"/>
      <c r="K2" s="1792" t="str">
        <f>"估价期日："&amp;TEXT(项目基本情况!D3,"yyyy年m月d日;;")</f>
        <v>估价期日：2020年2月28日</v>
      </c>
      <c r="L2" s="1790"/>
      <c r="M2" s="1790"/>
      <c r="N2" s="1790"/>
      <c r="O2" s="1790"/>
      <c r="P2" s="1790"/>
      <c r="Q2" s="1790"/>
      <c r="R2" s="1792" t="str">
        <f>"估价期日的国有建设用地使用权性质："&amp;项目基本情况!B16</f>
        <v>估价期日的国有建设用地使用权性质：出让</v>
      </c>
    </row>
    <row r="3" spans="1:18" ht="23.25" customHeight="1">
      <c r="A3" s="3296" t="s">
        <v>2026</v>
      </c>
      <c r="B3" s="3296" t="s">
        <v>2727</v>
      </c>
      <c r="C3" s="3297" t="s">
        <v>2027</v>
      </c>
      <c r="D3" s="3296" t="s">
        <v>2731</v>
      </c>
      <c r="E3" s="3299" t="s">
        <v>2028</v>
      </c>
      <c r="F3" s="3299"/>
      <c r="G3" s="3299"/>
      <c r="H3" s="3299" t="s">
        <v>2029</v>
      </c>
      <c r="I3" s="3299"/>
      <c r="J3" s="3299"/>
      <c r="K3" s="3297" t="s">
        <v>2030</v>
      </c>
      <c r="L3" s="3297" t="s">
        <v>2031</v>
      </c>
      <c r="M3" s="3296" t="s">
        <v>2728</v>
      </c>
      <c r="N3" s="3298" t="str">
        <f>"（分摊）"&amp;项目基本情况!B16&amp;"国有建设用地使用权面积/㎡"</f>
        <v>（分摊）出让国有建设用地使用权面积/㎡</v>
      </c>
      <c r="O3" s="3296" t="s">
        <v>2060</v>
      </c>
      <c r="P3" s="3297" t="s">
        <v>2040</v>
      </c>
      <c r="Q3" s="3297" t="s">
        <v>2061</v>
      </c>
      <c r="R3" s="3297" t="s">
        <v>2032</v>
      </c>
    </row>
    <row r="4" spans="1:18" ht="36.75" customHeight="1">
      <c r="A4" s="3296"/>
      <c r="B4" s="3296"/>
      <c r="C4" s="3297"/>
      <c r="D4" s="3296"/>
      <c r="E4" s="2611" t="s">
        <v>2039</v>
      </c>
      <c r="F4" s="2611" t="s">
        <v>2740</v>
      </c>
      <c r="G4" s="2611" t="s">
        <v>2033</v>
      </c>
      <c r="H4" s="2611" t="s">
        <v>2034</v>
      </c>
      <c r="I4" s="2611" t="s">
        <v>2741</v>
      </c>
      <c r="J4" s="2611" t="s">
        <v>2033</v>
      </c>
      <c r="K4" s="3297"/>
      <c r="L4" s="3297"/>
      <c r="M4" s="3296"/>
      <c r="N4" s="3298"/>
      <c r="O4" s="3296"/>
      <c r="P4" s="3297"/>
      <c r="Q4" s="3297"/>
      <c r="R4" s="3297"/>
    </row>
    <row r="5" spans="1:18" ht="135" customHeight="1">
      <c r="A5" s="1926" t="s">
        <v>2651</v>
      </c>
      <c r="B5" s="2820" t="s">
        <v>2649</v>
      </c>
      <c r="C5" s="2610">
        <v>22</v>
      </c>
      <c r="D5" s="2609" t="s">
        <v>2650</v>
      </c>
      <c r="E5" s="1793" t="str">
        <f>项目基本情况!B12</f>
        <v>住宅</v>
      </c>
      <c r="F5" s="2609">
        <v>258</v>
      </c>
      <c r="G5" s="1793" t="str">
        <f>项目基本情况!B13</f>
        <v>住宅</v>
      </c>
      <c r="H5" s="2609">
        <v>1.5</v>
      </c>
      <c r="I5" s="2609">
        <v>1.5</v>
      </c>
      <c r="J5" s="2609">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f>IF(项目基本情况!B16="出让",项目基本情况!D20,"——")</f>
        <v>0</v>
      </c>
      <c r="N5" s="1793">
        <f>项目基本情况!C22</f>
        <v>22322.400000000001</v>
      </c>
      <c r="O5" s="1793">
        <f>项目基本情况!C21</f>
        <v>167887.58000000002</v>
      </c>
      <c r="P5" s="1793">
        <f ca="1">结果表!E42</f>
        <v>7493</v>
      </c>
      <c r="Q5" s="1793">
        <f ca="1">结果表!D42</f>
        <v>996</v>
      </c>
      <c r="R5" s="1794">
        <f ca="1">结果表!C42</f>
        <v>16726</v>
      </c>
    </row>
    <row r="6" spans="1:18">
      <c r="A6" s="3292" t="str">
        <f>IF(项目基本情况!B9="市场价格","——","抵押价格")</f>
        <v>抵押价格</v>
      </c>
      <c r="B6" s="3293"/>
      <c r="C6" s="3293"/>
      <c r="D6" s="3293"/>
      <c r="E6" s="3293"/>
      <c r="F6" s="3293"/>
      <c r="G6" s="3293"/>
      <c r="H6" s="3293"/>
      <c r="I6" s="3293"/>
      <c r="J6" s="3293"/>
      <c r="K6" s="3293"/>
      <c r="L6" s="3293"/>
      <c r="M6" s="3293"/>
      <c r="N6" s="3293"/>
      <c r="O6" s="3293"/>
      <c r="P6" s="3293"/>
      <c r="Q6" s="3294"/>
      <c r="R6" s="1795">
        <f ca="1">结果表!O39</f>
        <v>16726</v>
      </c>
    </row>
    <row r="7" spans="1:18">
      <c r="A7" s="3292" t="str">
        <f>IF(项目基本情况!B9="市场价格","——",IF(项目基本情况!E8="已注销及未注销","抵押担保权已注销时的抵押价格","——"))</f>
        <v>——</v>
      </c>
      <c r="B7" s="3293"/>
      <c r="C7" s="3293"/>
      <c r="D7" s="3293"/>
      <c r="E7" s="3293"/>
      <c r="F7" s="3293"/>
      <c r="G7" s="3293"/>
      <c r="H7" s="3293"/>
      <c r="I7" s="3293"/>
      <c r="J7" s="3293"/>
      <c r="K7" s="3293"/>
      <c r="L7" s="3293"/>
      <c r="M7" s="3293"/>
      <c r="N7" s="3293"/>
      <c r="O7" s="3293"/>
      <c r="P7" s="3293"/>
      <c r="Q7" s="3294"/>
      <c r="R7" s="1795" t="str">
        <f>结果表!O40</f>
        <v>——</v>
      </c>
    </row>
    <row r="8" spans="1:18">
      <c r="A8" s="3292">
        <f>IF(项目基本情况!B9="市场价格","——",项目基本情况!E9)</f>
        <v>0</v>
      </c>
      <c r="B8" s="3293"/>
      <c r="C8" s="3293"/>
      <c r="D8" s="3293"/>
      <c r="E8" s="3293"/>
      <c r="F8" s="3293"/>
      <c r="G8" s="3293"/>
      <c r="H8" s="3293"/>
      <c r="I8" s="3293"/>
      <c r="J8" s="3293"/>
      <c r="K8" s="3293"/>
      <c r="L8" s="3293"/>
      <c r="M8" s="3293"/>
      <c r="N8" s="3293"/>
      <c r="O8" s="3293"/>
      <c r="P8" s="3293"/>
      <c r="Q8" s="3294"/>
      <c r="R8" s="1795" t="str">
        <f>结果表!O41</f>
        <v>——</v>
      </c>
    </row>
    <row r="9" spans="1:18">
      <c r="A9" s="1796" t="s">
        <v>2038</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2025</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42"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5" customWidth="1"/>
    <col min="2" max="3" width="21.33203125" style="1785" customWidth="1"/>
    <col min="4" max="4" width="19.88671875" style="1785" customWidth="1"/>
    <col min="5" max="16384" width="9" style="1785"/>
  </cols>
  <sheetData>
    <row r="1" spans="1:4">
      <c r="A1" s="3300" t="s">
        <v>2062</v>
      </c>
      <c r="B1" s="3300"/>
      <c r="C1" s="3300"/>
      <c r="D1" s="3300"/>
    </row>
    <row r="2" spans="1:4" ht="47.25" customHeight="1">
      <c r="A2" s="3304" t="str">
        <f>"1.权利限制："&amp;项目基本情况!L24&amp;"未设定租赁等其他他项权利。"</f>
        <v>1.权利限制：根据估价对象《不动产权证书》原件、《国有土地使用权》复印件，截至估价期日，估价对象抵押权未见登记。未设定租赁等其他他项权利。</v>
      </c>
      <c r="B2" s="3304"/>
      <c r="C2" s="3304"/>
      <c r="D2" s="3304"/>
    </row>
    <row r="3" spans="1:4" ht="48" customHeight="1">
      <c r="A3" s="330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00"/>
      <c r="C3" s="3300"/>
      <c r="D3" s="3300"/>
    </row>
    <row r="4" spans="1:4" ht="36.75" customHeight="1">
      <c r="A4" s="3300" t="str">
        <f>"3.估价规划限制条件：详见"&amp;项目基本情况!E21&amp;"。"</f>
        <v>3.估价规划限制条件：详见《建设工程规划许可证》[]、《出让合同》[]。</v>
      </c>
      <c r="B4" s="3300"/>
      <c r="C4" s="3300"/>
      <c r="D4" s="3300"/>
    </row>
    <row r="5" spans="1:4">
      <c r="A5" s="3303" t="s">
        <v>2063</v>
      </c>
      <c r="B5" s="3303"/>
      <c r="C5" s="3303"/>
      <c r="D5" s="3303"/>
    </row>
    <row r="6" spans="1:4">
      <c r="A6" s="3300" t="s">
        <v>2041</v>
      </c>
      <c r="B6" s="3300"/>
      <c r="C6" s="3300"/>
      <c r="D6" s="3300"/>
    </row>
    <row r="7" spans="1:4" ht="33" customHeight="1">
      <c r="A7" s="3300" t="s">
        <v>2571</v>
      </c>
      <c r="B7" s="3300"/>
      <c r="C7" s="3300"/>
      <c r="D7" s="3300"/>
    </row>
    <row r="8" spans="1:4" ht="32.25" customHeight="1">
      <c r="A8" s="330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0"/>
      <c r="C8" s="3300"/>
      <c r="D8" s="3300"/>
    </row>
    <row r="9" spans="1:4" ht="33.75" customHeight="1">
      <c r="A9" s="330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0"/>
      <c r="C9" s="3300"/>
      <c r="D9" s="3300"/>
    </row>
    <row r="10" spans="1:4">
      <c r="A10" s="3300" t="str">
        <f>IF(项目基本情况!B8="抵押","4.估价师所知悉的法定优先受偿款情况为：","——")</f>
        <v>4.估价师所知悉的法定优先受偿款情况为：</v>
      </c>
      <c r="B10" s="3300"/>
      <c r="C10" s="3300"/>
      <c r="D10" s="3300"/>
    </row>
    <row r="11" spans="1:4" ht="37.5" customHeight="1">
      <c r="A11" s="330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2"/>
      <c r="C11" s="3302"/>
      <c r="D11" s="3302"/>
    </row>
    <row r="12" spans="1:4" ht="168" customHeight="1">
      <c r="A12" s="3303" t="s">
        <v>2065</v>
      </c>
      <c r="B12" s="3303"/>
      <c r="C12" s="3303"/>
      <c r="D12" s="3303"/>
    </row>
    <row r="13" spans="1:4">
      <c r="A13" s="3301" t="s">
        <v>2742</v>
      </c>
      <c r="B13" s="3301"/>
      <c r="C13" s="3301"/>
      <c r="D13" s="3301"/>
    </row>
    <row r="14" spans="1:4">
      <c r="A14" s="3302" t="str">
        <f>IF(项目基本情况!B8="抵押","综上，"&amp;结果表!K47,"——")</f>
        <v>综上，本次评估不存在估价师知悉的法定优先受偿款</v>
      </c>
      <c r="B14" s="3302"/>
      <c r="C14" s="3302"/>
      <c r="D14" s="3302"/>
    </row>
    <row r="15" spans="1:4" ht="58.5" customHeight="1">
      <c r="A15" s="330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0"/>
      <c r="C15" s="3300"/>
      <c r="D15" s="3300"/>
    </row>
    <row r="16" spans="1:4" ht="70.5" customHeight="1">
      <c r="A16" s="330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0"/>
      <c r="C16" s="3300"/>
      <c r="D16" s="3300"/>
    </row>
    <row r="17" spans="1:4">
      <c r="A17" s="3300" t="s">
        <v>2698</v>
      </c>
      <c r="B17" s="3300"/>
      <c r="C17" s="3300"/>
      <c r="D17" s="3300"/>
    </row>
    <row r="18" spans="1:4">
      <c r="A18" s="3300" t="s">
        <v>2690</v>
      </c>
      <c r="B18" s="3300"/>
      <c r="C18" s="3300"/>
      <c r="D18" s="3300"/>
    </row>
    <row r="19" spans="1:4">
      <c r="A19" s="2821" t="s">
        <v>2691</v>
      </c>
      <c r="B19" s="2821" t="s">
        <v>2692</v>
      </c>
      <c r="C19" s="2821" t="s">
        <v>2693</v>
      </c>
      <c r="D19" s="2821" t="s">
        <v>2694</v>
      </c>
    </row>
    <row r="20" spans="1:4">
      <c r="A20" s="2821" t="str">
        <f>项目基本情况!B4</f>
        <v>土地估价师</v>
      </c>
      <c r="B20" s="2821">
        <f>项目基本情况!C4</f>
        <v>0</v>
      </c>
      <c r="C20" s="2823"/>
      <c r="D20" s="1783" t="s">
        <v>2699</v>
      </c>
    </row>
    <row r="21" spans="1:4">
      <c r="A21" s="2821" t="str">
        <f>项目基本情况!D4</f>
        <v>土地估价师</v>
      </c>
      <c r="B21" s="2821">
        <f>项目基本情况!E4</f>
        <v>0</v>
      </c>
      <c r="C21" s="2823"/>
      <c r="D21" s="1783" t="s">
        <v>2700</v>
      </c>
    </row>
    <row r="23" spans="1:4">
      <c r="A23" s="3300" t="s">
        <v>2695</v>
      </c>
      <c r="B23" s="3300"/>
      <c r="C23" s="3300"/>
      <c r="D23" s="3300"/>
    </row>
    <row r="24" spans="1:4">
      <c r="A24" s="2821" t="s">
        <v>2691</v>
      </c>
      <c r="B24" s="2821" t="s">
        <v>2696</v>
      </c>
      <c r="C24" s="2821" t="s">
        <v>2693</v>
      </c>
      <c r="D24" s="2821" t="s">
        <v>2694</v>
      </c>
    </row>
    <row r="25" spans="1:4">
      <c r="A25" s="2824" t="s">
        <v>2697</v>
      </c>
      <c r="B25" s="2821" t="s">
        <v>952</v>
      </c>
      <c r="C25" s="2823"/>
      <c r="D25" s="1783" t="s">
        <v>2700</v>
      </c>
    </row>
    <row r="29" spans="1:4">
      <c r="D29" s="2822" t="s">
        <v>2036</v>
      </c>
    </row>
    <row r="30" spans="1:4">
      <c r="D30" s="282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4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4">
      <c r="A15" s="3312" t="s">
        <v>53</v>
      </c>
      <c r="B15" s="3313" t="s">
        <v>846</v>
      </c>
      <c r="C15" s="3309"/>
    </row>
    <row r="16" spans="1:7" ht="14.4">
      <c r="A16" s="3312"/>
      <c r="B16" s="3310" t="s">
        <v>54</v>
      </c>
      <c r="C16" s="1168" t="s">
        <v>53</v>
      </c>
    </row>
    <row r="17" spans="1:3" ht="14.4">
      <c r="A17" s="3312"/>
      <c r="B17" s="3310"/>
      <c r="C17" s="1168" t="s">
        <v>55</v>
      </c>
    </row>
    <row r="18" spans="1:3" ht="14.4">
      <c r="A18" s="3312"/>
      <c r="B18" s="3310"/>
      <c r="C18" s="1168" t="s">
        <v>56</v>
      </c>
    </row>
    <row r="19" spans="1:3" ht="14.4">
      <c r="A19" s="3312"/>
      <c r="B19" s="3308" t="s">
        <v>57</v>
      </c>
      <c r="C19" s="3309"/>
    </row>
    <row r="20" spans="1:3" ht="14.4">
      <c r="A20" s="1169" t="s">
        <v>58</v>
      </c>
      <c r="B20" s="1170"/>
      <c r="C20" s="1171"/>
    </row>
    <row r="21" spans="1:3" ht="14.4">
      <c r="A21" s="3311" t="s">
        <v>59</v>
      </c>
      <c r="B21" s="3308" t="s">
        <v>60</v>
      </c>
      <c r="C21" s="3309"/>
    </row>
    <row r="22" spans="1:3" ht="14.4">
      <c r="A22" s="3311"/>
      <c r="B22" s="3308" t="s">
        <v>61</v>
      </c>
      <c r="C22" s="3309"/>
    </row>
    <row r="23" spans="1:3" ht="14.4">
      <c r="A23" s="3311"/>
      <c r="B23" s="3308" t="s">
        <v>62</v>
      </c>
      <c r="C23" s="3309"/>
    </row>
    <row r="24" spans="1:3" ht="14.4">
      <c r="A24" s="3311"/>
      <c r="B24" s="3314" t="s">
        <v>63</v>
      </c>
      <c r="C24" s="1172" t="s">
        <v>837</v>
      </c>
    </row>
    <row r="25" spans="1:3" ht="14.4">
      <c r="A25" s="3311"/>
      <c r="B25" s="3315"/>
      <c r="C25" s="1172" t="s">
        <v>838</v>
      </c>
    </row>
    <row r="26" spans="1:3" ht="14.4">
      <c r="A26" s="3311"/>
      <c r="B26" s="3315"/>
      <c r="C26" s="1172" t="s">
        <v>839</v>
      </c>
    </row>
    <row r="27" spans="1:3" ht="14.4">
      <c r="A27" s="3311"/>
      <c r="B27" s="3315"/>
      <c r="C27" s="1172" t="s">
        <v>840</v>
      </c>
    </row>
    <row r="28" spans="1:3" ht="14.4">
      <c r="A28" s="3311"/>
      <c r="B28" s="3315"/>
      <c r="C28" s="1172" t="s">
        <v>841</v>
      </c>
    </row>
    <row r="29" spans="1:3" ht="14.4">
      <c r="A29" s="3311"/>
      <c r="B29" s="3315"/>
      <c r="C29" s="1172" t="s">
        <v>842</v>
      </c>
    </row>
    <row r="30" spans="1:3" ht="14.4">
      <c r="A30" s="3311"/>
      <c r="B30" s="3315"/>
      <c r="C30" s="1172" t="s">
        <v>843</v>
      </c>
    </row>
    <row r="31" spans="1:3" ht="14.4">
      <c r="A31" s="3311"/>
      <c r="B31" s="3315"/>
      <c r="C31" s="1172" t="s">
        <v>844</v>
      </c>
    </row>
    <row r="32" spans="1:3" ht="14.4">
      <c r="A32" s="3311"/>
      <c r="B32" s="3315"/>
      <c r="C32" s="1172" t="s">
        <v>1646</v>
      </c>
    </row>
    <row r="33" spans="1:3" ht="14.4">
      <c r="A33" s="3311"/>
      <c r="B33" s="3305" t="s">
        <v>1652</v>
      </c>
      <c r="C33" s="1172" t="s">
        <v>1647</v>
      </c>
    </row>
    <row r="34" spans="1:3" ht="14.4">
      <c r="A34" s="3311"/>
      <c r="B34" s="3306"/>
      <c r="C34" s="1177" t="s">
        <v>1648</v>
      </c>
    </row>
    <row r="35" spans="1:3" ht="14.4">
      <c r="A35" s="3311"/>
      <c r="B35" s="3306"/>
      <c r="C35" s="1178" t="s">
        <v>1649</v>
      </c>
    </row>
    <row r="36" spans="1:3" ht="14.4">
      <c r="A36" s="3311"/>
      <c r="B36" s="3306"/>
      <c r="C36" s="1178" t="s">
        <v>1650</v>
      </c>
    </row>
    <row r="37" spans="1:3" ht="14.4">
      <c r="A37" s="3311"/>
      <c r="B37" s="3307"/>
      <c r="C37" s="1179" t="s">
        <v>1651</v>
      </c>
    </row>
    <row r="38" spans="1:3">
      <c r="A38" s="1173" t="s">
        <v>845</v>
      </c>
    </row>
    <row r="41" spans="1:3">
      <c r="A41" s="1173" t="s">
        <v>68</v>
      </c>
    </row>
    <row r="42" spans="1:3" ht="14.4">
      <c r="A42" s="1174" t="s">
        <v>853</v>
      </c>
    </row>
    <row r="43" spans="1:3" ht="14.4">
      <c r="A43" s="1175" t="s">
        <v>69</v>
      </c>
    </row>
    <row r="44" spans="1:3" ht="14.4">
      <c r="A44" s="1174" t="s">
        <v>852</v>
      </c>
    </row>
    <row r="45" spans="1:3" ht="14.4">
      <c r="A45" s="1176" t="s">
        <v>854</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4"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30"/>
  <sheetViews>
    <sheetView view="pageBreakPreview" topLeftCell="B1" zoomScale="80" zoomScaleNormal="100" zoomScaleSheetLayoutView="80" workbookViewId="0">
      <selection activeCell="A76" sqref="A76:B76"/>
    </sheetView>
  </sheetViews>
  <sheetFormatPr defaultColWidth="22.6640625" defaultRowHeight="20.25" customHeight="1"/>
  <cols>
    <col min="1" max="1" width="24.77734375" style="3124" customWidth="1"/>
    <col min="2" max="5" width="22.6640625" style="3124"/>
    <col min="6" max="6" width="25.6640625" style="3124" customWidth="1"/>
    <col min="7" max="16384" width="22.6640625" style="3124"/>
  </cols>
  <sheetData>
    <row r="2" spans="1:6" ht="20.25" customHeight="1">
      <c r="A2" s="3121" t="s">
        <v>1906</v>
      </c>
      <c r="B2" s="3122">
        <f ca="1">TODAY()</f>
        <v>43915</v>
      </c>
      <c r="C2" s="3123" t="s">
        <v>1907</v>
      </c>
      <c r="D2" s="3123"/>
    </row>
    <row r="3" spans="1:6" ht="20.25" customHeight="1">
      <c r="A3" s="3125" t="s">
        <v>1908</v>
      </c>
      <c r="B3" s="3126" t="s">
        <v>1909</v>
      </c>
      <c r="C3" s="3126" t="s">
        <v>1910</v>
      </c>
      <c r="D3" s="3127" t="s">
        <v>1911</v>
      </c>
      <c r="E3" s="3126" t="s">
        <v>1912</v>
      </c>
      <c r="F3" s="3126" t="s">
        <v>1910</v>
      </c>
    </row>
    <row r="4" spans="1:6" ht="20.25" customHeight="1">
      <c r="A4" s="3126" t="s">
        <v>1913</v>
      </c>
      <c r="B4" s="3126">
        <f ca="1">IF(C4&lt;B2,"已过期",1119970066)</f>
        <v>1119970066</v>
      </c>
      <c r="C4" s="3128">
        <v>44876</v>
      </c>
      <c r="D4" s="3126" t="s">
        <v>1913</v>
      </c>
      <c r="E4" s="3126">
        <f ca="1">IF(F4&lt;B2,"已过期",96010014)</f>
        <v>96010014</v>
      </c>
      <c r="F4" s="3129">
        <v>47118</v>
      </c>
    </row>
    <row r="5" spans="1:6" ht="20.25" customHeight="1">
      <c r="A5" s="3126"/>
      <c r="B5" s="3126"/>
      <c r="C5" s="3128"/>
      <c r="D5" s="3126"/>
      <c r="E5" s="3126"/>
      <c r="F5" s="3129"/>
    </row>
    <row r="6" spans="1:6" ht="20.25" customHeight="1">
      <c r="A6" s="3126" t="s">
        <v>1914</v>
      </c>
      <c r="B6" s="3126">
        <f ca="1">IF(C6&lt;B2,"已过期",1119970111)</f>
        <v>1119970111</v>
      </c>
      <c r="C6" s="3128">
        <v>44876</v>
      </c>
      <c r="D6" s="3126" t="s">
        <v>1914</v>
      </c>
      <c r="E6" s="3126">
        <f ca="1">IF(F6&lt;B2,"已过期",94010078)</f>
        <v>94010078</v>
      </c>
      <c r="F6" s="3129">
        <v>46387</v>
      </c>
    </row>
    <row r="7" spans="1:6" ht="20.25" customHeight="1">
      <c r="A7" s="3126" t="s">
        <v>1915</v>
      </c>
      <c r="B7" s="3126">
        <f ca="1">IF(C7&lt;B2,"已过期",1120050019)</f>
        <v>1120050019</v>
      </c>
      <c r="C7" s="3128">
        <v>44395</v>
      </c>
      <c r="D7" s="3126" t="s">
        <v>1915</v>
      </c>
      <c r="E7" s="3126">
        <f ca="1">IF(F7&lt;B2,"已过期",2002110030)</f>
        <v>2002110030</v>
      </c>
      <c r="F7" s="3129">
        <v>46387</v>
      </c>
    </row>
    <row r="8" spans="1:6" ht="20.25" customHeight="1">
      <c r="A8" s="3126" t="s">
        <v>1916</v>
      </c>
      <c r="B8" s="3126">
        <f ca="1">IF(C8&lt;B2,"已过期",1120000080)</f>
        <v>1120000080</v>
      </c>
      <c r="C8" s="3128">
        <v>44876</v>
      </c>
      <c r="D8" s="3126" t="s">
        <v>1916</v>
      </c>
      <c r="E8" s="3126">
        <f ca="1">IF(F8&lt;B2,"已过期",2000110082)</f>
        <v>2000110082</v>
      </c>
      <c r="F8" s="3129">
        <v>46387</v>
      </c>
    </row>
    <row r="9" spans="1:6" ht="20.25" customHeight="1">
      <c r="A9" s="3126" t="s">
        <v>1917</v>
      </c>
      <c r="B9" s="3126">
        <f ca="1">IF(C9&lt;B2,"已过期",1419970001)</f>
        <v>1419970001</v>
      </c>
      <c r="C9" s="3128">
        <v>44899</v>
      </c>
      <c r="D9" s="3126" t="s">
        <v>1917</v>
      </c>
      <c r="E9" s="3126">
        <f ca="1">IF(F9&lt;B2,"已过期",2002110125)</f>
        <v>2002110125</v>
      </c>
      <c r="F9" s="3129">
        <v>47118</v>
      </c>
    </row>
    <row r="10" spans="1:6" ht="20.25" customHeight="1">
      <c r="A10" s="3126" t="s">
        <v>1918</v>
      </c>
      <c r="B10" s="3126">
        <f ca="1">IF(C10&lt;B2,"已过期",1120060040)</f>
        <v>1120060040</v>
      </c>
      <c r="C10" s="3128">
        <v>44554</v>
      </c>
      <c r="D10" s="3126" t="s">
        <v>1918</v>
      </c>
      <c r="E10" s="3126">
        <f ca="1">IF(F10&lt;B2,"已过期",2004110096)</f>
        <v>2004110096</v>
      </c>
      <c r="F10" s="3129">
        <v>47118</v>
      </c>
    </row>
    <row r="11" spans="1:6" ht="20.25" customHeight="1">
      <c r="A11" s="3126" t="s">
        <v>1919</v>
      </c>
      <c r="B11" s="3126">
        <f ca="1">IF(C11&lt;B2,"已过期",1120100036)</f>
        <v>1120100036</v>
      </c>
      <c r="C11" s="3128">
        <v>44675</v>
      </c>
      <c r="D11" s="3126" t="s">
        <v>1919</v>
      </c>
      <c r="E11" s="3126">
        <f ca="1">IF(F11&lt;B2,"已过期",2010110070)</f>
        <v>2010110070</v>
      </c>
      <c r="F11" s="3129">
        <v>47907</v>
      </c>
    </row>
    <row r="12" spans="1:6" ht="20.25" customHeight="1">
      <c r="A12" s="3126"/>
      <c r="B12" s="3126"/>
      <c r="C12" s="3128"/>
      <c r="D12" s="3126"/>
      <c r="E12" s="3126"/>
      <c r="F12" s="3129"/>
    </row>
    <row r="13" spans="1:6" ht="20.25" customHeight="1">
      <c r="A13" s="3126" t="s">
        <v>1920</v>
      </c>
      <c r="B13" s="3126">
        <f ca="1">IF(C13&lt;B2,"已过期",1120070131)</f>
        <v>1120070131</v>
      </c>
      <c r="C13" s="3128">
        <v>44849</v>
      </c>
      <c r="D13" s="3126" t="s">
        <v>1920</v>
      </c>
      <c r="E13" s="3126">
        <f ca="1">IF(F13&lt;B2,"已过期",2014110011)</f>
        <v>2014110011</v>
      </c>
      <c r="F13" s="3129">
        <v>49302</v>
      </c>
    </row>
    <row r="14" spans="1:6" ht="20.25" customHeight="1">
      <c r="A14" s="3126" t="s">
        <v>2974</v>
      </c>
      <c r="B14" s="3126">
        <f ca="1">IF(C14&lt;B2,"已过期",1120040230)</f>
        <v>1120040230</v>
      </c>
      <c r="C14" s="3130">
        <v>44864</v>
      </c>
      <c r="D14" s="3131" t="s">
        <v>2975</v>
      </c>
      <c r="E14" s="3126">
        <f ca="1">IF(F14&lt;B2,"已过期",98030020)</f>
        <v>98030020</v>
      </c>
      <c r="F14" s="3129">
        <v>47118</v>
      </c>
    </row>
    <row r="15" spans="1:6" ht="20.25" customHeight="1">
      <c r="A15" s="3126"/>
      <c r="B15" s="3126"/>
      <c r="C15" s="3130"/>
      <c r="D15" s="3126"/>
      <c r="E15" s="3126"/>
      <c r="F15" s="3132"/>
    </row>
    <row r="16" spans="1:6" ht="20.25" customHeight="1">
      <c r="A16" s="3126"/>
      <c r="B16" s="3126"/>
      <c r="C16" s="3128"/>
      <c r="D16" s="3126"/>
      <c r="E16" s="3126"/>
      <c r="F16" s="3129"/>
    </row>
    <row r="17" spans="1:7" ht="20.25" customHeight="1">
      <c r="A17" s="3126"/>
      <c r="B17" s="3126"/>
      <c r="C17" s="3128"/>
      <c r="D17" s="3131"/>
      <c r="E17" s="3126"/>
      <c r="F17" s="3129"/>
    </row>
    <row r="18" spans="1:7" ht="20.25" customHeight="1">
      <c r="A18" s="3126" t="s">
        <v>2988</v>
      </c>
      <c r="B18" s="3126">
        <v>1120190079</v>
      </c>
      <c r="C18" s="3128">
        <v>44826</v>
      </c>
      <c r="D18" s="3126"/>
      <c r="E18" s="3126"/>
      <c r="F18" s="3129"/>
    </row>
    <row r="19" spans="1:7" ht="20.25" customHeight="1">
      <c r="A19" s="3126"/>
      <c r="B19" s="3126"/>
      <c r="C19" s="3128"/>
      <c r="D19" s="3126"/>
      <c r="E19" s="3126"/>
      <c r="F19" s="3126"/>
    </row>
    <row r="20" spans="1:7" ht="20.25" customHeight="1">
      <c r="A20" s="3126"/>
      <c r="B20" s="3126"/>
      <c r="C20" s="3128"/>
      <c r="D20" s="3126"/>
      <c r="E20" s="3126"/>
      <c r="F20" s="3126"/>
    </row>
    <row r="21" spans="1:7" ht="20.25" customHeight="1">
      <c r="A21" s="3126"/>
      <c r="B21" s="3126"/>
      <c r="C21" s="3128"/>
      <c r="D21" s="3126" t="s">
        <v>1921</v>
      </c>
      <c r="E21" s="3126">
        <f ca="1">IF(F21&lt;B2,"已过期",2011110090)</f>
        <v>2011110090</v>
      </c>
      <c r="F21" s="3129">
        <v>48302</v>
      </c>
    </row>
    <row r="22" spans="1:7" ht="20.25" customHeight="1">
      <c r="A22" s="3126" t="s">
        <v>1922</v>
      </c>
      <c r="B22" s="3126">
        <f ca="1">IF(C22&lt;B2,"已过期",1120020033)</f>
        <v>1120020033</v>
      </c>
      <c r="C22" s="3128">
        <v>44339</v>
      </c>
      <c r="D22" s="3126" t="s">
        <v>1922</v>
      </c>
      <c r="E22" s="3126">
        <f ca="1">IF(F22&lt;B2,"已过期",2000110137)</f>
        <v>2000110137</v>
      </c>
      <c r="F22" s="3129">
        <v>46387</v>
      </c>
    </row>
    <row r="23" spans="1:7" ht="20.25" customHeight="1">
      <c r="A23" s="3126" t="s">
        <v>2990</v>
      </c>
      <c r="B23" s="3126">
        <v>1119980106</v>
      </c>
      <c r="C23" s="3128">
        <v>43916</v>
      </c>
      <c r="D23" s="3126" t="s">
        <v>2992</v>
      </c>
      <c r="E23" s="3126">
        <v>96010063</v>
      </c>
      <c r="F23" s="3129">
        <v>47118</v>
      </c>
    </row>
    <row r="24" spans="1:7" s="3134" customFormat="1" ht="20.25" customHeight="1">
      <c r="A24" s="3125" t="s">
        <v>2050</v>
      </c>
      <c r="B24" s="3125" t="s">
        <v>2050</v>
      </c>
      <c r="C24" s="3128"/>
      <c r="D24" s="3133" t="s">
        <v>2050</v>
      </c>
      <c r="E24" s="3125" t="s">
        <v>2050</v>
      </c>
      <c r="F24" s="3132"/>
    </row>
    <row r="25" spans="1:7" ht="20.25" customHeight="1">
      <c r="A25" s="3316" t="s">
        <v>1923</v>
      </c>
      <c r="B25" s="3316"/>
      <c r="C25" s="3316"/>
      <c r="D25" s="3316"/>
      <c r="E25" s="3316"/>
      <c r="F25" s="3316"/>
      <c r="G25" s="3316"/>
    </row>
    <row r="26" spans="1:7" ht="20.25" customHeight="1">
      <c r="A26" s="3317" t="s">
        <v>1924</v>
      </c>
      <c r="B26" s="3317"/>
      <c r="C26" s="3317"/>
      <c r="D26" s="3317" t="s">
        <v>1925</v>
      </c>
      <c r="E26" s="3317"/>
      <c r="F26" s="3317"/>
    </row>
    <row r="27" spans="1:7" s="3121" customFormat="1" ht="20.25" customHeight="1">
      <c r="A27" s="3135" t="s">
        <v>1926</v>
      </c>
      <c r="B27" s="3136" t="s">
        <v>1927</v>
      </c>
      <c r="C27" s="3136" t="s">
        <v>1928</v>
      </c>
      <c r="D27" s="3126" t="s">
        <v>1926</v>
      </c>
      <c r="E27" s="3136" t="s">
        <v>1927</v>
      </c>
      <c r="F27" s="3136" t="s">
        <v>1928</v>
      </c>
    </row>
    <row r="28" spans="1:7" s="3121" customFormat="1" ht="20.25" customHeight="1">
      <c r="A28" s="3137" t="s">
        <v>1929</v>
      </c>
      <c r="B28" s="3137" t="s">
        <v>1930</v>
      </c>
      <c r="C28" s="3129">
        <v>44820</v>
      </c>
      <c r="D28" s="3137" t="s">
        <v>1931</v>
      </c>
      <c r="E28" s="3137" t="s">
        <v>1932</v>
      </c>
      <c r="F28" s="3138">
        <v>44377</v>
      </c>
    </row>
    <row r="29" spans="1:7" s="3121" customFormat="1" ht="20.25" customHeight="1">
      <c r="A29" s="3137"/>
      <c r="B29" s="3137"/>
      <c r="C29" s="3139"/>
      <c r="D29" s="3137" t="s">
        <v>1933</v>
      </c>
      <c r="E29" s="3137" t="s">
        <v>2989</v>
      </c>
      <c r="F29" s="3138">
        <v>44012</v>
      </c>
    </row>
    <row r="30" spans="1:7" ht="20.25" customHeight="1">
      <c r="C30" s="3140"/>
      <c r="D30" s="3140"/>
    </row>
  </sheetData>
  <sheetProtection sheet="1" objects="1" scenarios="1"/>
  <mergeCells count="3">
    <mergeCell ref="A25:G25"/>
    <mergeCell ref="A26:C26"/>
    <mergeCell ref="D26:F26"/>
  </mergeCells>
  <phoneticPr fontId="8" type="noConversion"/>
  <conditionalFormatting sqref="C24:D24">
    <cfRule type="expression" dxfId="245" priority="151">
      <formula>AND($C24-TODAY()&lt;30,TODAY()&lt;$C24)</formula>
    </cfRule>
  </conditionalFormatting>
  <conditionalFormatting sqref="C28">
    <cfRule type="expression" dxfId="244" priority="150">
      <formula>AND($C28-TODAY()&lt;30,TODAY()&lt;$C28)</formula>
    </cfRule>
  </conditionalFormatting>
  <conditionalFormatting sqref="C28 F4">
    <cfRule type="cellIs" dxfId="243" priority="152" stopIfTrue="1" operator="lessThan">
      <formula>$B$2</formula>
    </cfRule>
  </conditionalFormatting>
  <conditionalFormatting sqref="F5">
    <cfRule type="cellIs" dxfId="242" priority="148" stopIfTrue="1" operator="lessThan">
      <formula>$B$2</formula>
    </cfRule>
  </conditionalFormatting>
  <conditionalFormatting sqref="F6 F8 F10">
    <cfRule type="cellIs" dxfId="241" priority="146" stopIfTrue="1" operator="lessThan">
      <formula>$B$2</formula>
    </cfRule>
  </conditionalFormatting>
  <conditionalFormatting sqref="C24:D24">
    <cfRule type="expression" dxfId="240" priority="144">
      <formula>AND($C24-TODAY()&lt;30,TODAY()&lt;$C24)</formula>
    </cfRule>
  </conditionalFormatting>
  <conditionalFormatting sqref="F7 F9 F11 C24:D24">
    <cfRule type="cellIs" dxfId="239" priority="145" stopIfTrue="1" operator="lessThan">
      <formula>$B$2</formula>
    </cfRule>
  </conditionalFormatting>
  <conditionalFormatting sqref="F22">
    <cfRule type="cellIs" dxfId="238" priority="116" stopIfTrue="1" operator="lessThan">
      <formula>$B$2</formula>
    </cfRule>
  </conditionalFormatting>
  <conditionalFormatting sqref="F21">
    <cfRule type="cellIs" dxfId="237" priority="115" stopIfTrue="1" operator="lessThan">
      <formula>$B$2</formula>
    </cfRule>
  </conditionalFormatting>
  <conditionalFormatting sqref="B4:B11 E4:E11 E19:E22 B17 B13 E13 B19:B23">
    <cfRule type="cellIs" dxfId="236" priority="113" stopIfTrue="1" operator="equal">
      <formula>"已过期"</formula>
    </cfRule>
  </conditionalFormatting>
  <conditionalFormatting sqref="F28">
    <cfRule type="cellIs" dxfId="235" priority="110" stopIfTrue="1" operator="lessThan">
      <formula>$B$2</formula>
    </cfRule>
  </conditionalFormatting>
  <conditionalFormatting sqref="F28">
    <cfRule type="expression" dxfId="234" priority="154">
      <formula>AND($E28-TODAY()&lt;30,TODAY()&lt;$E28)</formula>
    </cfRule>
  </conditionalFormatting>
  <conditionalFormatting sqref="C5">
    <cfRule type="expression" dxfId="233" priority="105">
      <formula>AND($C5-TODAY()&lt;30,TODAY()&lt;$C5)</formula>
    </cfRule>
  </conditionalFormatting>
  <conditionalFormatting sqref="C5">
    <cfRule type="cellIs" dxfId="232" priority="106" stopIfTrue="1" operator="lessThan">
      <formula>$B$2</formula>
    </cfRule>
  </conditionalFormatting>
  <conditionalFormatting sqref="C5:C6">
    <cfRule type="expression" dxfId="231" priority="103">
      <formula>AND($C5-TODAY()&lt;30,TODAY()&lt;$C5)</formula>
    </cfRule>
  </conditionalFormatting>
  <conditionalFormatting sqref="C5:C6">
    <cfRule type="cellIs" dxfId="230" priority="104" stopIfTrue="1" operator="lessThan">
      <formula>$B$2</formula>
    </cfRule>
  </conditionalFormatting>
  <conditionalFormatting sqref="C7">
    <cfRule type="expression" dxfId="229" priority="84">
      <formula>AND($C7-TODAY()&lt;30,TODAY()&lt;$C7)</formula>
    </cfRule>
  </conditionalFormatting>
  <conditionalFormatting sqref="C7">
    <cfRule type="cellIs" dxfId="228" priority="85" stopIfTrue="1" operator="lessThan">
      <formula>$B$2</formula>
    </cfRule>
  </conditionalFormatting>
  <conditionalFormatting sqref="C13 C23 C17 C19:C21">
    <cfRule type="expression" dxfId="227" priority="82">
      <formula>AND($C13-TODAY()&lt;30,TODAY()&lt;$C13)</formula>
    </cfRule>
  </conditionalFormatting>
  <conditionalFormatting sqref="C13 C23 C17 C19:C21">
    <cfRule type="cellIs" dxfId="226" priority="83" stopIfTrue="1" operator="lessThan">
      <formula>$B$2</formula>
    </cfRule>
  </conditionalFormatting>
  <conditionalFormatting sqref="F13">
    <cfRule type="cellIs" dxfId="225" priority="81" stopIfTrue="1" operator="lessThan">
      <formula>$B$2</formula>
    </cfRule>
  </conditionalFormatting>
  <conditionalFormatting sqref="F12">
    <cfRule type="cellIs" dxfId="224" priority="73" stopIfTrue="1" operator="lessThan">
      <formula>$B$2</formula>
    </cfRule>
  </conditionalFormatting>
  <conditionalFormatting sqref="B12 E12">
    <cfRule type="cellIs" dxfId="223" priority="72" stopIfTrue="1" operator="equal">
      <formula>"已过期"</formula>
    </cfRule>
  </conditionalFormatting>
  <conditionalFormatting sqref="C12">
    <cfRule type="expression" dxfId="222" priority="70">
      <formula>AND($C12-TODAY()&lt;30,TODAY()&lt;$C12)</formula>
    </cfRule>
  </conditionalFormatting>
  <conditionalFormatting sqref="C12">
    <cfRule type="cellIs" dxfId="221" priority="71" stopIfTrue="1" operator="lessThan">
      <formula>$B$2</formula>
    </cfRule>
  </conditionalFormatting>
  <conditionalFormatting sqref="C22">
    <cfRule type="expression" dxfId="220" priority="62">
      <formula>AND($C22-TODAY()&lt;30,TODAY()&lt;$C22)</formula>
    </cfRule>
  </conditionalFormatting>
  <conditionalFormatting sqref="C22">
    <cfRule type="cellIs" dxfId="219" priority="63" stopIfTrue="1" operator="lessThan">
      <formula>$B$2</formula>
    </cfRule>
  </conditionalFormatting>
  <conditionalFormatting sqref="C16">
    <cfRule type="expression" dxfId="218" priority="60">
      <formula>AND($C16-TODAY()&lt;30,TODAY()&lt;$C16)</formula>
    </cfRule>
  </conditionalFormatting>
  <conditionalFormatting sqref="C16">
    <cfRule type="cellIs" dxfId="217" priority="61" stopIfTrue="1" operator="lessThan">
      <formula>$B$2</formula>
    </cfRule>
  </conditionalFormatting>
  <conditionalFormatting sqref="C16">
    <cfRule type="expression" dxfId="216" priority="58">
      <formula>AND($C16-TODAY()&lt;30,TODAY()&lt;$C16)</formula>
    </cfRule>
  </conditionalFormatting>
  <conditionalFormatting sqref="C16">
    <cfRule type="cellIs" dxfId="215" priority="59" stopIfTrue="1" operator="lessThan">
      <formula>$B$2</formula>
    </cfRule>
  </conditionalFormatting>
  <conditionalFormatting sqref="B16">
    <cfRule type="cellIs" dxfId="214" priority="57" stopIfTrue="1" operator="equal">
      <formula>"已过期"</formula>
    </cfRule>
  </conditionalFormatting>
  <conditionalFormatting sqref="C14:C15">
    <cfRule type="expression" dxfId="213" priority="55">
      <formula>AND($C14-TODAY()&lt;30,TODAY()&lt;$C14)</formula>
    </cfRule>
  </conditionalFormatting>
  <conditionalFormatting sqref="C14:C15">
    <cfRule type="cellIs" dxfId="212" priority="56" stopIfTrue="1" operator="lessThan">
      <formula>$B$2</formula>
    </cfRule>
  </conditionalFormatting>
  <conditionalFormatting sqref="C14">
    <cfRule type="expression" dxfId="211" priority="53">
      <formula>AND($C14-TODAY()&lt;30,TODAY()&lt;$C14)</formula>
    </cfRule>
  </conditionalFormatting>
  <conditionalFormatting sqref="C14">
    <cfRule type="cellIs" dxfId="210" priority="54" stopIfTrue="1" operator="lessThan">
      <formula>$B$2</formula>
    </cfRule>
  </conditionalFormatting>
  <conditionalFormatting sqref="C15">
    <cfRule type="expression" dxfId="209" priority="51">
      <formula>AND($C15-TODAY()&lt;30,TODAY()&lt;$C15)</formula>
    </cfRule>
  </conditionalFormatting>
  <conditionalFormatting sqref="C15">
    <cfRule type="cellIs" dxfId="208" priority="52" stopIfTrue="1" operator="lessThan">
      <formula>$B$2</formula>
    </cfRule>
  </conditionalFormatting>
  <conditionalFormatting sqref="B14">
    <cfRule type="cellIs" dxfId="207" priority="50" stopIfTrue="1" operator="equal">
      <formula>"已过期"</formula>
    </cfRule>
  </conditionalFormatting>
  <conditionalFormatting sqref="B15">
    <cfRule type="cellIs" dxfId="206" priority="49" stopIfTrue="1" operator="equal">
      <formula>"已过期"</formula>
    </cfRule>
  </conditionalFormatting>
  <conditionalFormatting sqref="A15">
    <cfRule type="cellIs" dxfId="205" priority="48" stopIfTrue="1" operator="equal">
      <formula>"已过期"</formula>
    </cfRule>
  </conditionalFormatting>
  <conditionalFormatting sqref="C15">
    <cfRule type="expression" dxfId="204" priority="47">
      <formula>AND($C15-TODAY()&lt;30,TODAY()&lt;$C15)</formula>
    </cfRule>
  </conditionalFormatting>
  <conditionalFormatting sqref="F16">
    <cfRule type="cellIs" dxfId="203" priority="46" stopIfTrue="1" operator="lessThan">
      <formula>$B$2</formula>
    </cfRule>
  </conditionalFormatting>
  <conditionalFormatting sqref="E16">
    <cfRule type="cellIs" dxfId="202" priority="45" stopIfTrue="1" operator="equal">
      <formula>"已过期"</formula>
    </cfRule>
  </conditionalFormatting>
  <conditionalFormatting sqref="E15">
    <cfRule type="cellIs" dxfId="201" priority="44" stopIfTrue="1" operator="equal">
      <formula>"已过期"</formula>
    </cfRule>
  </conditionalFormatting>
  <conditionalFormatting sqref="D15">
    <cfRule type="cellIs" dxfId="200" priority="43" stopIfTrue="1" operator="equal">
      <formula>"已过期"</formula>
    </cfRule>
  </conditionalFormatting>
  <conditionalFormatting sqref="F17">
    <cfRule type="cellIs" dxfId="199" priority="42" stopIfTrue="1" operator="lessThan">
      <formula>$B$2</formula>
    </cfRule>
  </conditionalFormatting>
  <conditionalFormatting sqref="E17">
    <cfRule type="cellIs" dxfId="198" priority="41" stopIfTrue="1" operator="equal">
      <formula>"已过期"</formula>
    </cfRule>
  </conditionalFormatting>
  <conditionalFormatting sqref="E14">
    <cfRule type="cellIs" dxfId="197" priority="40" stopIfTrue="1" operator="equal">
      <formula>"已过期"</formula>
    </cfRule>
  </conditionalFormatting>
  <conditionalFormatting sqref="F14">
    <cfRule type="cellIs" dxfId="196" priority="39" stopIfTrue="1" operator="lessThan">
      <formula>$B$2</formula>
    </cfRule>
  </conditionalFormatting>
  <conditionalFormatting sqref="C10:C11">
    <cfRule type="expression" dxfId="195" priority="35">
      <formula>AND($C10-TODAY()&lt;30,TODAY()&lt;$C10)</formula>
    </cfRule>
  </conditionalFormatting>
  <conditionalFormatting sqref="C10:C11">
    <cfRule type="cellIs" dxfId="194" priority="36" stopIfTrue="1" operator="lessThan">
      <formula>$B$2</formula>
    </cfRule>
  </conditionalFormatting>
  <conditionalFormatting sqref="C18">
    <cfRule type="expression" dxfId="193" priority="24">
      <formula>AND($C18-TODAY()&lt;30,TODAY()&lt;$C18)</formula>
    </cfRule>
  </conditionalFormatting>
  <conditionalFormatting sqref="C18">
    <cfRule type="cellIs" dxfId="192" priority="25" stopIfTrue="1" operator="lessThan">
      <formula>$B$2</formula>
    </cfRule>
  </conditionalFormatting>
  <conditionalFormatting sqref="C18">
    <cfRule type="expression" dxfId="191" priority="22">
      <formula>AND($C18-TODAY()&lt;30,TODAY()&lt;$C18)</formula>
    </cfRule>
  </conditionalFormatting>
  <conditionalFormatting sqref="C18">
    <cfRule type="cellIs" dxfId="190" priority="23" stopIfTrue="1" operator="lessThan">
      <formula>$B$2</formula>
    </cfRule>
  </conditionalFormatting>
  <conditionalFormatting sqref="B18">
    <cfRule type="cellIs" dxfId="189" priority="21" stopIfTrue="1" operator="equal">
      <formula>"已过期"</formula>
    </cfRule>
  </conditionalFormatting>
  <conditionalFormatting sqref="F18">
    <cfRule type="cellIs" dxfId="188" priority="20" stopIfTrue="1" operator="lessThan">
      <formula>$B$2</formula>
    </cfRule>
  </conditionalFormatting>
  <conditionalFormatting sqref="E18">
    <cfRule type="cellIs" dxfId="187" priority="19" stopIfTrue="1" operator="equal">
      <formula>"已过期"</formula>
    </cfRule>
  </conditionalFormatting>
  <conditionalFormatting sqref="F29">
    <cfRule type="cellIs" dxfId="186" priority="15" stopIfTrue="1" operator="lessThan">
      <formula>$B$2</formula>
    </cfRule>
  </conditionalFormatting>
  <conditionalFormatting sqref="F29">
    <cfRule type="expression" dxfId="185" priority="16">
      <formula>AND($E29-TODAY()&lt;30,TODAY()&lt;$E29)</formula>
    </cfRule>
  </conditionalFormatting>
  <conditionalFormatting sqref="C4">
    <cfRule type="expression" dxfId="184" priority="11">
      <formula>AND($C4-TODAY()&lt;30,TODAY()&lt;$C4)</formula>
    </cfRule>
  </conditionalFormatting>
  <conditionalFormatting sqref="C4">
    <cfRule type="cellIs" dxfId="183" priority="12" stopIfTrue="1" operator="lessThan">
      <formula>$B$2</formula>
    </cfRule>
  </conditionalFormatting>
  <conditionalFormatting sqref="C8:C9">
    <cfRule type="expression" dxfId="182" priority="5">
      <formula>AND($C8-TODAY()&lt;30,TODAY()&lt;$C8)</formula>
    </cfRule>
  </conditionalFormatting>
  <conditionalFormatting sqref="C8:C9">
    <cfRule type="cellIs" dxfId="181" priority="6" stopIfTrue="1" operator="lessThan">
      <formula>$B$2</formula>
    </cfRule>
  </conditionalFormatting>
  <conditionalFormatting sqref="F23">
    <cfRule type="cellIs" dxfId="180" priority="2" stopIfTrue="1" operator="lessThan">
      <formula>$B$2</formula>
    </cfRule>
  </conditionalFormatting>
  <conditionalFormatting sqref="E23">
    <cfRule type="cellIs" dxfId="179" priority="1" stopIfTrue="1" operator="equal">
      <formula>"已过期"</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AG6" sqref="AG6"/>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856</v>
      </c>
      <c r="B1" s="5" t="s">
        <v>132</v>
      </c>
      <c r="C1" s="1536"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2542</v>
      </c>
      <c r="R1" s="2544" t="s">
        <v>2536</v>
      </c>
      <c r="S1" s="6" t="s">
        <v>146</v>
      </c>
      <c r="T1" s="7" t="s">
        <v>147</v>
      </c>
      <c r="U1" s="6" t="s">
        <v>148</v>
      </c>
      <c r="V1" s="6" t="s">
        <v>149</v>
      </c>
      <c r="W1" s="1004" t="s">
        <v>874</v>
      </c>
    </row>
    <row r="2" spans="1:23" ht="14.4">
      <c r="A2" s="8" t="s">
        <v>73</v>
      </c>
      <c r="B2" s="8" t="s">
        <v>150</v>
      </c>
      <c r="C2" s="1537" t="s">
        <v>1708</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2537</v>
      </c>
      <c r="S2" s="9" t="s">
        <v>75</v>
      </c>
      <c r="T2" s="9" t="s">
        <v>76</v>
      </c>
      <c r="U2" s="9" t="s">
        <v>75</v>
      </c>
      <c r="V2" s="9" t="s">
        <v>77</v>
      </c>
      <c r="W2" s="9" t="s">
        <v>875</v>
      </c>
    </row>
    <row r="3" spans="1:23" ht="14.4">
      <c r="A3" s="8" t="s">
        <v>78</v>
      </c>
      <c r="B3" s="10" t="s">
        <v>151</v>
      </c>
      <c r="C3" s="1538" t="s">
        <v>1709</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2538</v>
      </c>
      <c r="S3" s="9" t="s">
        <v>84</v>
      </c>
      <c r="T3" s="9" t="s">
        <v>85</v>
      </c>
      <c r="U3" s="9" t="s">
        <v>84</v>
      </c>
      <c r="V3" s="9" t="s">
        <v>86</v>
      </c>
      <c r="W3" s="9" t="s">
        <v>876</v>
      </c>
    </row>
    <row r="4" spans="1:23" ht="14.4">
      <c r="A4" s="8" t="s">
        <v>87</v>
      </c>
      <c r="B4" s="8" t="s">
        <v>152</v>
      </c>
      <c r="C4" s="1537" t="s">
        <v>1710</v>
      </c>
      <c r="D4" s="9" t="s">
        <v>1991</v>
      </c>
      <c r="E4" s="9" t="s">
        <v>88</v>
      </c>
      <c r="F4" s="9" t="s">
        <v>89</v>
      </c>
      <c r="G4" s="9">
        <v>70</v>
      </c>
      <c r="H4" s="9" t="s">
        <v>90</v>
      </c>
      <c r="I4" s="9" t="s">
        <v>91</v>
      </c>
      <c r="K4" s="9" t="s">
        <v>92</v>
      </c>
      <c r="L4" s="9" t="s">
        <v>92</v>
      </c>
      <c r="M4" s="9" t="s">
        <v>92</v>
      </c>
      <c r="N4" s="9" t="s">
        <v>92</v>
      </c>
      <c r="O4" s="9" t="s">
        <v>92</v>
      </c>
      <c r="P4" s="1006" t="s">
        <v>760</v>
      </c>
      <c r="Q4" s="9" t="s">
        <v>92</v>
      </c>
      <c r="R4" s="1006" t="s">
        <v>2539</v>
      </c>
      <c r="S4" s="9" t="s">
        <v>92</v>
      </c>
      <c r="T4" s="9" t="s">
        <v>93</v>
      </c>
      <c r="U4" s="9" t="s">
        <v>92</v>
      </c>
      <c r="W4" s="9" t="s">
        <v>877</v>
      </c>
    </row>
    <row r="5" spans="1:23" ht="14.4">
      <c r="A5" s="8" t="s">
        <v>94</v>
      </c>
      <c r="B5" s="8" t="s">
        <v>153</v>
      </c>
      <c r="C5" s="1537" t="s">
        <v>1711</v>
      </c>
      <c r="F5" s="9" t="s">
        <v>95</v>
      </c>
      <c r="H5" s="9" t="s">
        <v>70</v>
      </c>
      <c r="I5" s="9" t="s">
        <v>96</v>
      </c>
      <c r="K5" s="9" t="s">
        <v>97</v>
      </c>
      <c r="L5" s="9" t="s">
        <v>97</v>
      </c>
      <c r="M5" s="9" t="s">
        <v>97</v>
      </c>
      <c r="N5" s="9" t="s">
        <v>97</v>
      </c>
      <c r="O5" s="9" t="s">
        <v>97</v>
      </c>
      <c r="P5" s="1006" t="s">
        <v>546</v>
      </c>
      <c r="Q5" s="9" t="s">
        <v>97</v>
      </c>
      <c r="R5" s="1006" t="s">
        <v>2540</v>
      </c>
      <c r="S5" s="9" t="s">
        <v>97</v>
      </c>
      <c r="T5" s="9" t="s">
        <v>98</v>
      </c>
      <c r="U5" s="9" t="s">
        <v>97</v>
      </c>
      <c r="W5" s="9" t="s">
        <v>878</v>
      </c>
    </row>
    <row r="6" spans="1:23" ht="14.4">
      <c r="A6" s="8" t="s">
        <v>99</v>
      </c>
      <c r="B6" s="1145" t="s">
        <v>1640</v>
      </c>
      <c r="C6" s="1539" t="s">
        <v>1712</v>
      </c>
      <c r="F6" s="9" t="s">
        <v>71</v>
      </c>
      <c r="H6" s="9" t="s">
        <v>72</v>
      </c>
      <c r="I6" s="9" t="s">
        <v>100</v>
      </c>
      <c r="K6" s="9" t="s">
        <v>101</v>
      </c>
      <c r="L6" s="9" t="s">
        <v>101</v>
      </c>
      <c r="M6" s="9" t="s">
        <v>101</v>
      </c>
      <c r="N6" s="9" t="s">
        <v>101</v>
      </c>
      <c r="O6" s="9" t="s">
        <v>101</v>
      </c>
      <c r="P6" s="1006" t="s">
        <v>881</v>
      </c>
      <c r="Q6" s="9" t="s">
        <v>101</v>
      </c>
      <c r="R6" s="1006" t="s">
        <v>2541</v>
      </c>
      <c r="S6" s="9" t="s">
        <v>101</v>
      </c>
      <c r="T6" s="9"/>
      <c r="U6" s="9" t="s">
        <v>101</v>
      </c>
      <c r="W6" s="9" t="s">
        <v>879</v>
      </c>
    </row>
    <row r="7" spans="1:23" ht="14.4">
      <c r="A7" s="8" t="s">
        <v>102</v>
      </c>
      <c r="B7" s="8" t="s">
        <v>103</v>
      </c>
      <c r="C7" s="1537" t="s">
        <v>1713</v>
      </c>
      <c r="F7" s="9" t="s">
        <v>154</v>
      </c>
      <c r="H7" s="9" t="s">
        <v>104</v>
      </c>
      <c r="I7" s="9" t="s">
        <v>105</v>
      </c>
    </row>
    <row r="8" spans="1:23" ht="14.4">
      <c r="A8" s="8" t="s">
        <v>106</v>
      </c>
      <c r="B8" s="8" t="s">
        <v>107</v>
      </c>
      <c r="C8" s="1537" t="s">
        <v>1714</v>
      </c>
      <c r="F8" s="9" t="s">
        <v>155</v>
      </c>
      <c r="H8" s="9"/>
      <c r="I8" s="9" t="s">
        <v>108</v>
      </c>
    </row>
    <row r="9" spans="1:23" ht="14.4">
      <c r="A9" s="8" t="s">
        <v>109</v>
      </c>
      <c r="B9" s="8" t="s">
        <v>156</v>
      </c>
      <c r="C9" s="1537" t="s">
        <v>1715</v>
      </c>
      <c r="F9" s="9" t="s">
        <v>110</v>
      </c>
      <c r="H9" s="9"/>
    </row>
    <row r="10" spans="1:23" ht="14.4">
      <c r="A10" s="8" t="s">
        <v>111</v>
      </c>
      <c r="B10" s="8" t="s">
        <v>157</v>
      </c>
      <c r="C10" s="1537" t="s">
        <v>1716</v>
      </c>
      <c r="F10" s="9" t="s">
        <v>6</v>
      </c>
    </row>
    <row r="11" spans="1:23" ht="14.4">
      <c r="A11" s="8" t="s">
        <v>112</v>
      </c>
      <c r="B11" s="8" t="s">
        <v>158</v>
      </c>
      <c r="C11" s="1537" t="s">
        <v>1717</v>
      </c>
    </row>
    <row r="12" spans="1:23" ht="14.4">
      <c r="A12" s="8" t="s">
        <v>113</v>
      </c>
      <c r="B12" s="8" t="s">
        <v>159</v>
      </c>
      <c r="C12" s="1537" t="s">
        <v>1718</v>
      </c>
    </row>
    <row r="13" spans="1:23" ht="14.4">
      <c r="A13" s="8" t="s">
        <v>114</v>
      </c>
      <c r="B13" s="8" t="s">
        <v>160</v>
      </c>
      <c r="C13" s="1537" t="s">
        <v>1719</v>
      </c>
    </row>
    <row r="14" spans="1:23" ht="14.4">
      <c r="A14" s="8" t="s">
        <v>115</v>
      </c>
      <c r="B14" s="8" t="s">
        <v>161</v>
      </c>
      <c r="C14" s="1540" t="s">
        <v>1895</v>
      </c>
    </row>
    <row r="15" spans="1:23" ht="14.4">
      <c r="A15" s="8" t="s">
        <v>116</v>
      </c>
      <c r="B15" s="8" t="s">
        <v>1680</v>
      </c>
      <c r="C15" s="1540"/>
    </row>
    <row r="16" spans="1:23" ht="14.4">
      <c r="A16" s="8" t="s">
        <v>117</v>
      </c>
      <c r="B16" s="8" t="s">
        <v>1681</v>
      </c>
      <c r="C16" s="1540"/>
    </row>
    <row r="17" spans="1:3" ht="14.4">
      <c r="A17" s="8" t="s">
        <v>118</v>
      </c>
      <c r="B17" s="8" t="s">
        <v>1682</v>
      </c>
      <c r="C17" s="1540"/>
    </row>
    <row r="18" spans="1:3" ht="14.4">
      <c r="A18" s="8" t="s">
        <v>119</v>
      </c>
      <c r="B18" s="3059" t="s">
        <v>2948</v>
      </c>
      <c r="C18" s="1540"/>
    </row>
    <row r="19" spans="1:3" ht="14.4">
      <c r="A19" s="8" t="s">
        <v>120</v>
      </c>
      <c r="B19" s="3059" t="s">
        <v>2956</v>
      </c>
      <c r="C19" s="1540"/>
    </row>
    <row r="20" spans="1:3" ht="14.4">
      <c r="A20" s="8" t="s">
        <v>121</v>
      </c>
      <c r="B20" s="8" t="s">
        <v>1641</v>
      </c>
      <c r="C20" s="1540"/>
    </row>
    <row r="21" spans="1:3" ht="15.6">
      <c r="A21" s="8" t="s">
        <v>122</v>
      </c>
      <c r="B21" s="3244" t="s">
        <v>3300</v>
      </c>
      <c r="C21" s="1540"/>
    </row>
    <row r="22" spans="1:3" ht="14.4">
      <c r="A22" s="8" t="s">
        <v>123</v>
      </c>
      <c r="B22" s="8" t="s">
        <v>1641</v>
      </c>
      <c r="C22" s="1540"/>
    </row>
    <row r="23" spans="1:3" ht="14.4">
      <c r="A23" s="8" t="s">
        <v>124</v>
      </c>
      <c r="B23" s="8" t="s">
        <v>1641</v>
      </c>
      <c r="C23" s="1540"/>
    </row>
    <row r="24" spans="1:3">
      <c r="A24" s="8" t="s">
        <v>12</v>
      </c>
      <c r="B24" s="8" t="s">
        <v>1641</v>
      </c>
      <c r="C24" s="1540"/>
    </row>
    <row r="25" spans="1:3" ht="14.4">
      <c r="A25" s="8" t="s">
        <v>125</v>
      </c>
      <c r="B25" s="8" t="s">
        <v>1641</v>
      </c>
      <c r="C25" s="1540"/>
    </row>
    <row r="26" spans="1:3" ht="14.4">
      <c r="A26" s="8" t="s">
        <v>126</v>
      </c>
      <c r="B26" s="8" t="s">
        <v>1641</v>
      </c>
      <c r="C26" s="1540"/>
    </row>
    <row r="27" spans="1:3">
      <c r="A27" s="8" t="s">
        <v>1641</v>
      </c>
      <c r="B27" s="8" t="s">
        <v>1641</v>
      </c>
      <c r="C27" s="1540"/>
    </row>
    <row r="28" spans="1:3">
      <c r="A28" s="8" t="s">
        <v>1641</v>
      </c>
      <c r="B28" s="8" t="s">
        <v>1641</v>
      </c>
      <c r="C28" s="1540"/>
    </row>
    <row r="29" spans="1:3">
      <c r="A29" s="8" t="s">
        <v>1641</v>
      </c>
      <c r="B29" s="8" t="s">
        <v>1641</v>
      </c>
      <c r="C29" s="1540"/>
    </row>
    <row r="30" spans="1:3">
      <c r="A30" s="8" t="s">
        <v>1641</v>
      </c>
      <c r="B30" s="8" t="s">
        <v>1641</v>
      </c>
      <c r="C30" s="1540"/>
    </row>
    <row r="31" spans="1:3">
      <c r="A31" s="8" t="s">
        <v>1641</v>
      </c>
      <c r="B31" s="8" t="s">
        <v>1641</v>
      </c>
      <c r="C31" s="1540"/>
    </row>
    <row r="32" spans="1:3">
      <c r="A32" s="8" t="s">
        <v>1641</v>
      </c>
      <c r="B32" s="8" t="s">
        <v>1641</v>
      </c>
      <c r="C32" s="1540"/>
    </row>
    <row r="33" spans="1:3">
      <c r="A33" s="8" t="s">
        <v>1641</v>
      </c>
      <c r="B33" s="8" t="s">
        <v>1641</v>
      </c>
      <c r="C33" s="1540"/>
    </row>
    <row r="34" spans="1:3">
      <c r="A34" s="8" t="s">
        <v>1641</v>
      </c>
      <c r="B34" s="8" t="s">
        <v>1641</v>
      </c>
      <c r="C34" s="1540"/>
    </row>
    <row r="35" spans="1:3">
      <c r="A35" s="8" t="s">
        <v>1641</v>
      </c>
      <c r="B35" s="8" t="s">
        <v>1641</v>
      </c>
      <c r="C35" s="1540"/>
    </row>
    <row r="36" spans="1:3">
      <c r="A36" s="8" t="s">
        <v>1641</v>
      </c>
      <c r="B36" s="8" t="s">
        <v>1641</v>
      </c>
      <c r="C36" s="1540"/>
    </row>
    <row r="37" spans="1:3">
      <c r="A37" s="8" t="s">
        <v>1641</v>
      </c>
      <c r="B37" s="8" t="s">
        <v>1641</v>
      </c>
      <c r="C37" s="1540"/>
    </row>
    <row r="38" spans="1:3">
      <c r="A38" s="8" t="s">
        <v>1641</v>
      </c>
      <c r="B38" s="8" t="s">
        <v>1641</v>
      </c>
      <c r="C38" s="1540"/>
    </row>
    <row r="39" spans="1:3">
      <c r="A39" s="8" t="s">
        <v>1641</v>
      </c>
      <c r="B39" s="8" t="s">
        <v>1641</v>
      </c>
      <c r="C39" s="1540"/>
    </row>
    <row r="40" spans="1:3">
      <c r="A40" s="8" t="s">
        <v>1641</v>
      </c>
      <c r="B40" s="8" t="s">
        <v>1641</v>
      </c>
      <c r="C40" s="1540"/>
    </row>
    <row r="41" spans="1:3">
      <c r="A41" s="8" t="s">
        <v>1641</v>
      </c>
      <c r="B41" s="8" t="s">
        <v>1641</v>
      </c>
      <c r="C41" s="1540"/>
    </row>
    <row r="42" spans="1:3">
      <c r="A42" s="8" t="s">
        <v>1641</v>
      </c>
      <c r="B42" s="8" t="s">
        <v>1641</v>
      </c>
      <c r="C42" s="1540"/>
    </row>
    <row r="43" spans="1:3">
      <c r="A43" s="8" t="s">
        <v>1641</v>
      </c>
      <c r="B43" s="8" t="s">
        <v>1641</v>
      </c>
      <c r="C43" s="1540"/>
    </row>
    <row r="44" spans="1:3">
      <c r="A44" s="8" t="s">
        <v>1641</v>
      </c>
      <c r="B44" s="8" t="s">
        <v>1641</v>
      </c>
      <c r="C44" s="1540"/>
    </row>
    <row r="45" spans="1:3">
      <c r="A45" s="8" t="s">
        <v>1641</v>
      </c>
      <c r="B45" s="8" t="s">
        <v>1641</v>
      </c>
      <c r="C45" s="1540"/>
    </row>
    <row r="46" spans="1:3">
      <c r="A46" s="8" t="s">
        <v>1641</v>
      </c>
      <c r="B46" s="8" t="s">
        <v>1641</v>
      </c>
      <c r="C46" s="1540"/>
    </row>
    <row r="47" spans="1:3">
      <c r="A47" s="8" t="s">
        <v>1641</v>
      </c>
      <c r="B47" s="8" t="s">
        <v>1641</v>
      </c>
      <c r="C47" s="1540"/>
    </row>
    <row r="48" spans="1:3">
      <c r="A48" s="8" t="s">
        <v>1641</v>
      </c>
      <c r="B48" s="8" t="s">
        <v>1641</v>
      </c>
      <c r="C48" s="1540"/>
    </row>
    <row r="49" spans="1:5">
      <c r="A49" s="8" t="s">
        <v>1641</v>
      </c>
      <c r="B49" s="8" t="s">
        <v>1641</v>
      </c>
      <c r="C49" s="1540"/>
    </row>
    <row r="50" spans="1:5">
      <c r="A50" s="8" t="s">
        <v>1641</v>
      </c>
      <c r="B50" s="8" t="s">
        <v>1641</v>
      </c>
      <c r="C50" s="1540"/>
    </row>
    <row r="51" spans="1:5">
      <c r="A51" s="1748" t="s">
        <v>1939</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光大信托）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重庆盛皇房地产开发有限公司拟使用重庆市潼南区梓潼街道办凉风垭C2-3-04（1）号地块出让国有建设用地使用权作为抵押担保物，向光大信托办理贷款手续。光大信托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1983</v>
      </c>
      <c r="B52" s="1751" t="s">
        <v>1984</v>
      </c>
      <c r="C52" s="1749" t="s">
        <v>1985</v>
      </c>
      <c r="D52" s="1749" t="s">
        <v>1986</v>
      </c>
      <c r="E52" s="1750"/>
    </row>
    <row r="53" spans="1:5">
      <c r="A53" s="3318" t="s">
        <v>1987</v>
      </c>
      <c r="B53" s="1749" t="s">
        <v>1993</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2月28日，在规划利用条件下、设定土地开发程度为红线外“七通”、宗地内场地，设定用途为住宅，剩余土地使用年限为的出让国有建设用地使用权价格。</v>
      </c>
      <c r="D53" s="1750"/>
      <c r="E53" s="1750"/>
    </row>
    <row r="54" spans="1:5">
      <c r="A54" s="3318"/>
      <c r="B54" s="1749" t="s">
        <v>1994</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318"/>
      <c r="B55" s="1749" t="s">
        <v>1988</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318"/>
      <c r="B56" s="1749" t="s">
        <v>1989</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318"/>
      <c r="B57" s="1749" t="s">
        <v>1990</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ht="14.4">
      <c r="A58" s="1752" t="s">
        <v>2046</v>
      </c>
      <c r="B58" s="1749" t="s">
        <v>2047</v>
      </c>
      <c r="C58" s="11" t="s">
        <v>2048</v>
      </c>
      <c r="D58" s="1315" t="s">
        <v>2049</v>
      </c>
    </row>
  </sheetData>
  <sheetProtection password="C66D" sheet="1" objects="1" scenarios="1" formatCells="0" formatColumns="0" formatRows="0"/>
  <mergeCells count="1">
    <mergeCell ref="A53:A57"/>
  </mergeCells>
  <phoneticPr fontId="1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U58"/>
  <sheetViews>
    <sheetView view="pageBreakPreview" zoomScale="90" zoomScaleNormal="100" zoomScaleSheetLayoutView="90" workbookViewId="0">
      <selection activeCell="I24" sqref="I24"/>
    </sheetView>
  </sheetViews>
  <sheetFormatPr defaultColWidth="10" defaultRowHeight="15.6"/>
  <cols>
    <col min="1" max="1" width="15.33203125" style="1672" customWidth="1"/>
    <col min="2" max="2" width="11.33203125" style="1672" customWidth="1"/>
    <col min="3" max="3" width="12.6640625" style="1672" customWidth="1"/>
    <col min="4" max="4" width="11.77734375" style="1672" customWidth="1"/>
    <col min="5" max="5" width="12.44140625" style="1672" customWidth="1"/>
    <col min="6" max="6" width="11.33203125" style="1672" customWidth="1"/>
    <col min="7" max="7" width="12.33203125" style="1672" customWidth="1"/>
    <col min="8" max="8" width="10" style="1672" customWidth="1"/>
    <col min="9" max="9" width="12.441406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6.2" thickBot="1">
      <c r="A1" s="1642" t="s">
        <v>1934</v>
      </c>
      <c r="B1" s="3321" t="str">
        <f>IF(B10="北京市","北京市",C10)&amp;F10&amp;B16&amp;"国有建设用地使用权"&amp;B9&amp;"预评估"</f>
        <v>重庆市潼南区梓潼街道办凉风垭C2-3-04（1）号地块出让国有建设用地使用权抵押价格预评估</v>
      </c>
      <c r="C1" s="3322"/>
      <c r="D1" s="3322"/>
      <c r="E1" s="3322"/>
      <c r="F1" s="3322"/>
      <c r="G1" s="3322"/>
      <c r="H1" s="3322"/>
      <c r="I1" s="3323"/>
      <c r="J1" s="1675"/>
      <c r="K1" s="2416" t="str">
        <f>IF(B10="北京市","北京市",C10)&amp;F10&amp;B16&amp;"国有建设用地使用权"&amp;B9</f>
        <v>重庆市潼南区梓潼街道办凉风垭C2-3-04（1）号地块出让国有建设用地使用权抵押价格</v>
      </c>
      <c r="L1" s="1704"/>
      <c r="M1" s="1704"/>
      <c r="N1" s="1675"/>
      <c r="O1" s="1676"/>
      <c r="P1" s="1675"/>
      <c r="Q1" s="1675"/>
      <c r="R1" s="1675"/>
      <c r="S1" s="1675"/>
      <c r="T1" s="1675"/>
      <c r="U1" s="1675"/>
    </row>
    <row r="2" spans="1:21">
      <c r="A2" s="1643" t="s">
        <v>1935</v>
      </c>
      <c r="B2" s="1823"/>
      <c r="D2" s="1675"/>
      <c r="E2" s="1675"/>
      <c r="F2" s="1675"/>
      <c r="G2" s="1675"/>
      <c r="H2" s="1643"/>
      <c r="I2" s="1676"/>
      <c r="J2" s="1675"/>
      <c r="K2" s="2416" t="str">
        <f>IF(B10="北京市","北京市",C10)&amp;F10&amp;B16&amp;"国有建设用地使用权"</f>
        <v>重庆市潼南区梓潼街道办凉风垭C2-3-04（1）号地块出让国有建设用地使用权</v>
      </c>
      <c r="L2" s="1704"/>
      <c r="M2" s="1704"/>
      <c r="N2" s="1675"/>
      <c r="O2" s="1676"/>
      <c r="P2" s="1675"/>
      <c r="Q2" s="1675"/>
      <c r="R2" s="1675"/>
      <c r="S2" s="1675"/>
      <c r="T2" s="1675"/>
      <c r="U2" s="1675"/>
    </row>
    <row r="3" spans="1:21">
      <c r="A3" s="1644" t="s">
        <v>1936</v>
      </c>
      <c r="B3" s="1645">
        <v>43889</v>
      </c>
      <c r="C3" s="1646" t="s">
        <v>1992</v>
      </c>
      <c r="D3" s="1645">
        <f>B3</f>
        <v>43889</v>
      </c>
      <c r="E3" s="1675"/>
      <c r="F3" s="1675"/>
      <c r="G3" s="1675"/>
      <c r="H3" s="1643"/>
      <c r="I3" s="1676"/>
      <c r="J3" s="1675"/>
      <c r="K3" s="1755"/>
      <c r="L3" s="1704"/>
      <c r="M3" s="1704"/>
      <c r="N3" s="1675"/>
      <c r="O3" s="1676"/>
      <c r="P3" s="1675"/>
      <c r="Q3" s="1675"/>
      <c r="R3" s="1675"/>
      <c r="S3" s="1675"/>
      <c r="T3" s="1675"/>
      <c r="U3" s="1675"/>
    </row>
    <row r="4" spans="1:21" ht="31.8" thickBot="1">
      <c r="A4" s="1647" t="s">
        <v>1937</v>
      </c>
      <c r="B4" s="1824" t="s">
        <v>2885</v>
      </c>
      <c r="C4" s="1827">
        <f>SUMIF(土地估价师,B4,估价师及机构信息!E3:E24)</f>
        <v>0</v>
      </c>
      <c r="D4" s="1824" t="s">
        <v>2885</v>
      </c>
      <c r="E4" s="1827">
        <f>SUMIF(土地估价师,D4,估价师及机构信息!E3:E24)</f>
        <v>0</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土地估价师、土地估价师</v>
      </c>
      <c r="L4" s="1704"/>
      <c r="M4" s="1704"/>
      <c r="N4" s="1675"/>
      <c r="O4" s="1676"/>
      <c r="P4" s="1675"/>
      <c r="Q4" s="1675"/>
      <c r="R4" s="1675"/>
      <c r="S4" s="1675"/>
      <c r="T4" s="1675"/>
      <c r="U4" s="1675"/>
    </row>
    <row r="5" spans="1:21" ht="16.2" thickTop="1">
      <c r="A5" s="1648" t="s">
        <v>1938</v>
      </c>
      <c r="B5" s="1770"/>
      <c r="C5" s="1649"/>
      <c r="D5" s="1650"/>
      <c r="E5" s="1675"/>
      <c r="F5" s="1675"/>
      <c r="G5" s="1675"/>
      <c r="H5" s="1643"/>
      <c r="I5" s="1676"/>
      <c r="J5" s="1675"/>
      <c r="K5" s="1755"/>
      <c r="L5" s="1704"/>
      <c r="M5" s="1704"/>
      <c r="N5" s="1675"/>
      <c r="O5" s="1676"/>
      <c r="P5" s="1675"/>
      <c r="Q5" s="1675"/>
      <c r="R5" s="1675"/>
      <c r="S5" s="1675"/>
      <c r="T5" s="1675"/>
      <c r="U5" s="1675"/>
    </row>
    <row r="6" spans="1:21" ht="27.6">
      <c r="A6" s="1646" t="s">
        <v>2702</v>
      </c>
      <c r="B6" s="3183" t="s">
        <v>3123</v>
      </c>
      <c r="C6" s="1742"/>
      <c r="D6" s="1651"/>
      <c r="E6" s="1675"/>
      <c r="F6" s="1675"/>
      <c r="G6" s="1675"/>
      <c r="H6" s="1643"/>
      <c r="I6" s="1676"/>
      <c r="J6" s="1675"/>
      <c r="K6" s="3003" t="str">
        <f>IF(COUNTIF(B6,"*上海银行*"),"上海银行","")</f>
        <v/>
      </c>
      <c r="L6" s="1704"/>
      <c r="M6" s="1704"/>
      <c r="N6" s="1675"/>
      <c r="O6" s="1676"/>
      <c r="P6" s="1675"/>
      <c r="Q6" s="1675"/>
      <c r="R6" s="1675"/>
      <c r="S6" s="1675"/>
      <c r="T6" s="1675"/>
      <c r="U6" s="1675"/>
    </row>
    <row r="7" spans="1:21">
      <c r="A7" s="1652" t="s">
        <v>2703</v>
      </c>
      <c r="B7" s="1770" t="str">
        <f>面积!C4</f>
        <v>重庆盛皇房地产开发有限公司</v>
      </c>
      <c r="C7" s="1742"/>
      <c r="D7" s="1651"/>
      <c r="E7" s="1675"/>
      <c r="F7" s="1675"/>
      <c r="G7" s="1675"/>
      <c r="H7" s="1643"/>
      <c r="I7" s="1676"/>
      <c r="J7" s="1675"/>
      <c r="K7" s="1755"/>
      <c r="L7" s="1704"/>
      <c r="M7" s="1704"/>
      <c r="N7" s="1675"/>
      <c r="O7" s="1676"/>
      <c r="P7" s="1675"/>
      <c r="Q7" s="1675"/>
      <c r="R7" s="1675"/>
      <c r="S7" s="1675"/>
      <c r="T7" s="1675"/>
      <c r="U7" s="1675"/>
    </row>
    <row r="8" spans="1:21">
      <c r="A8" s="1652" t="s">
        <v>1939</v>
      </c>
      <c r="B8" s="1653" t="s">
        <v>2985</v>
      </c>
      <c r="C8" s="1654"/>
      <c r="D8" s="3327" t="s">
        <v>1941</v>
      </c>
      <c r="E8" s="1825" t="s">
        <v>3124</v>
      </c>
      <c r="F8" s="1655"/>
      <c r="G8" s="1643"/>
      <c r="H8" s="1643"/>
      <c r="I8" s="1688"/>
      <c r="J8" s="1675"/>
      <c r="K8" s="1755"/>
      <c r="L8" s="1704"/>
      <c r="M8" s="1704"/>
      <c r="N8" s="1675"/>
      <c r="O8" s="1676"/>
      <c r="P8" s="1675"/>
      <c r="Q8" s="1675"/>
      <c r="R8" s="1675"/>
      <c r="S8" s="1675"/>
      <c r="T8" s="1675"/>
      <c r="U8" s="1675"/>
    </row>
    <row r="9" spans="1:21" ht="16.2" thickBot="1">
      <c r="A9" s="1656" t="s">
        <v>1940</v>
      </c>
      <c r="B9" s="1657" t="s">
        <v>3124</v>
      </c>
      <c r="C9" s="1658"/>
      <c r="D9" s="3328"/>
      <c r="E9" s="1657"/>
      <c r="F9" s="1728"/>
      <c r="G9" s="1723"/>
      <c r="H9" s="1723"/>
      <c r="I9" s="1724"/>
      <c r="J9" s="1675"/>
      <c r="K9" s="1755"/>
      <c r="L9" s="1704"/>
      <c r="M9" s="1704"/>
      <c r="N9" s="1675"/>
      <c r="O9" s="1676"/>
      <c r="P9" s="1675"/>
      <c r="Q9" s="1675"/>
      <c r="R9" s="1675"/>
      <c r="S9" s="1675"/>
      <c r="T9" s="1675"/>
      <c r="U9" s="1675"/>
    </row>
    <row r="10" spans="1:21" ht="18" thickTop="1">
      <c r="A10" s="1725" t="s">
        <v>1996</v>
      </c>
      <c r="B10" s="1700" t="s">
        <v>3125</v>
      </c>
      <c r="C10" s="3184" t="s">
        <v>3126</v>
      </c>
      <c r="D10" s="1650"/>
      <c r="E10" s="1659" t="s">
        <v>1943</v>
      </c>
      <c r="F10" s="1660" t="s">
        <v>3127</v>
      </c>
      <c r="G10" s="1726"/>
      <c r="H10" s="1727"/>
      <c r="I10" s="1650"/>
      <c r="J10" s="1675"/>
      <c r="K10" s="1755"/>
      <c r="L10" s="1704"/>
      <c r="M10" s="1704"/>
      <c r="N10" s="1675"/>
      <c r="O10" s="1676"/>
      <c r="P10" s="1675"/>
      <c r="Q10" s="1675"/>
      <c r="R10" s="1675"/>
      <c r="S10" s="1675"/>
      <c r="T10" s="1675"/>
      <c r="U10" s="1675"/>
    </row>
    <row r="11" spans="1:21">
      <c r="A11" s="1678" t="s">
        <v>1997</v>
      </c>
      <c r="B11" s="1679" t="s">
        <v>3128</v>
      </c>
      <c r="C11" s="3185" t="str">
        <f>B7</f>
        <v>重庆盛皇房地产开发有限公司</v>
      </c>
      <c r="D11" s="1743"/>
      <c r="E11" s="1643"/>
      <c r="F11" s="1643"/>
      <c r="G11" s="1643"/>
      <c r="H11" s="1643"/>
      <c r="I11" s="1643"/>
      <c r="J11" s="1675"/>
      <c r="K11" s="1755"/>
      <c r="L11" s="1704"/>
      <c r="M11" s="1704"/>
      <c r="N11" s="1675"/>
      <c r="O11" s="1676"/>
      <c r="P11" s="1675"/>
      <c r="Q11" s="1675"/>
      <c r="R11" s="1675"/>
      <c r="S11" s="1675"/>
      <c r="T11" s="1675"/>
      <c r="U11" s="1675"/>
    </row>
    <row r="12" spans="1:21">
      <c r="A12" s="1766" t="s">
        <v>2055</v>
      </c>
      <c r="B12" s="3324" t="s">
        <v>3129</v>
      </c>
      <c r="C12" s="3325"/>
      <c r="D12" s="3326"/>
      <c r="E12" s="1680" t="s">
        <v>2058</v>
      </c>
      <c r="F12" s="3342" t="s">
        <v>2886</v>
      </c>
      <c r="G12" s="3343"/>
      <c r="H12" s="3343"/>
      <c r="I12" s="3344"/>
      <c r="J12" s="1675"/>
      <c r="K12" s="1755"/>
      <c r="L12" s="1704"/>
      <c r="M12" s="1704"/>
      <c r="N12" s="1675"/>
      <c r="O12" s="1676"/>
      <c r="P12" s="1675"/>
      <c r="Q12" s="1675"/>
      <c r="R12" s="1675"/>
      <c r="S12" s="1675"/>
      <c r="T12" s="1675"/>
      <c r="U12" s="1675"/>
    </row>
    <row r="13" spans="1:21">
      <c r="A13" s="1668" t="s">
        <v>2056</v>
      </c>
      <c r="B13" s="3324" t="s">
        <v>3129</v>
      </c>
      <c r="C13" s="3325"/>
      <c r="D13" s="3326"/>
      <c r="E13" s="1680" t="s">
        <v>2058</v>
      </c>
      <c r="F13" s="3342" t="s">
        <v>2887</v>
      </c>
      <c r="G13" s="3343"/>
      <c r="H13" s="3343"/>
      <c r="I13" s="3344"/>
      <c r="J13" s="1675"/>
      <c r="K13" s="1755"/>
      <c r="L13" s="1704"/>
      <c r="M13" s="1704"/>
      <c r="N13" s="1675"/>
      <c r="O13" s="1676"/>
      <c r="P13" s="1675"/>
      <c r="Q13" s="1675"/>
      <c r="R13" s="1675"/>
      <c r="S13" s="1675"/>
      <c r="T13" s="1675"/>
      <c r="U13" s="1675"/>
    </row>
    <row r="14" spans="1:21">
      <c r="A14" s="1644" t="s">
        <v>2059</v>
      </c>
      <c r="B14" s="1680"/>
      <c r="C14" s="1826" t="s">
        <v>3130</v>
      </c>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6"/>
      <c r="C15" s="1646"/>
      <c r="D15" s="1747" t="s">
        <v>1946</v>
      </c>
      <c r="E15" s="1747" t="s">
        <v>1947</v>
      </c>
      <c r="F15" s="1747" t="s">
        <v>1948</v>
      </c>
      <c r="G15" s="1667" t="s">
        <v>1949</v>
      </c>
      <c r="H15" s="1667" t="s">
        <v>1950</v>
      </c>
      <c r="I15" s="1667" t="s">
        <v>1951</v>
      </c>
      <c r="J15" s="1675"/>
      <c r="K15" s="1755"/>
      <c r="L15" s="1704"/>
      <c r="M15" s="1704"/>
      <c r="N15" s="1675"/>
      <c r="O15" s="1676"/>
      <c r="P15" s="1675"/>
      <c r="Q15" s="1675"/>
      <c r="R15" s="1675"/>
      <c r="S15" s="1675"/>
      <c r="T15" s="1675"/>
      <c r="U15" s="1675"/>
    </row>
    <row r="16" spans="1:21" ht="46.8">
      <c r="A16" s="1661" t="s">
        <v>1944</v>
      </c>
      <c r="B16" s="1662" t="s">
        <v>2980</v>
      </c>
      <c r="C16" s="1680" t="s">
        <v>1945</v>
      </c>
      <c r="D16" s="2607" t="s">
        <v>1946</v>
      </c>
      <c r="E16" s="1703" t="s">
        <v>3132</v>
      </c>
      <c r="F16" s="1703"/>
      <c r="G16" s="1703" t="s">
        <v>35</v>
      </c>
      <c r="H16" s="1703"/>
      <c r="I16" s="1667" t="s">
        <v>1951</v>
      </c>
      <c r="J16" s="1675"/>
      <c r="K16" s="2417" t="str">
        <f>IF(D17="","",D16&amp;TEXT(D17,"yyyy年m月d日;;"))</f>
        <v>住宅2063年12月3日</v>
      </c>
      <c r="L16" s="1680" t="str">
        <f>IF(OR(K16="",M16=""),"","、")</f>
        <v>、</v>
      </c>
      <c r="M16" s="2417" t="str">
        <f>IF(E17="","",E16&amp;TEXT(E17,"yyyy年m月d日;;"))</f>
        <v>商业2053年12月3日</v>
      </c>
      <c r="N16" s="1680" t="str">
        <f>IF(OR(M16="",O16=""),"","、")</f>
        <v/>
      </c>
      <c r="O16" s="2417" t="str">
        <f>IF(F17="","",F16&amp;TEXT(F17,"yyyy年m月d日;;"))</f>
        <v/>
      </c>
      <c r="P16" s="1680" t="str">
        <f>IF(OR(O16="",Q16=""),"","、")</f>
        <v/>
      </c>
      <c r="Q16" s="2417" t="str">
        <f>IF(G17="","",G16&amp;TEXT(G17,"yyyy年m月d日;;"))</f>
        <v>地下车库2063年12月3日</v>
      </c>
      <c r="R16" s="1680" t="str">
        <f>IF(OR(Q16="",S16=""),"","、")</f>
        <v/>
      </c>
      <c r="S16" s="2417" t="str">
        <f>IF(H17="","",H16&amp;TEXT(H17,"yyyy年m月d日;;"))</f>
        <v/>
      </c>
      <c r="T16" s="1680" t="str">
        <f>IF(OR(S16="",U16=""),"","、")</f>
        <v/>
      </c>
      <c r="U16" s="2417" t="str">
        <f>IF(I17="","",I16&amp;TEXT(I17,"yyyy年m月d日;;"))</f>
        <v/>
      </c>
    </row>
    <row r="17" spans="1:21">
      <c r="A17" s="1744"/>
      <c r="B17" s="1663"/>
      <c r="C17" s="1664" t="s">
        <v>1952</v>
      </c>
      <c r="D17" s="1681">
        <v>59873</v>
      </c>
      <c r="E17" s="1681">
        <v>56221</v>
      </c>
      <c r="F17" s="1681"/>
      <c r="G17" s="1681">
        <v>59873</v>
      </c>
      <c r="H17" s="1681"/>
      <c r="I17" s="1681"/>
      <c r="J17" s="1675"/>
      <c r="K17" s="2416" t="str">
        <f>CONCATENATE(K16,L16,M16,N16,O16,P16,Q16,R16,S16,T16,,U16)</f>
        <v>住宅2063年12月3日、商业2053年12月3日地下车库2063年12月3日</v>
      </c>
      <c r="L17" s="1704"/>
      <c r="M17" s="1704"/>
      <c r="N17" s="1675"/>
      <c r="O17" s="1676"/>
      <c r="P17" s="1675"/>
      <c r="Q17" s="1675"/>
      <c r="R17" s="1675"/>
      <c r="S17" s="1675"/>
      <c r="T17" s="1675"/>
      <c r="U17" s="1675"/>
    </row>
    <row r="18" spans="1:21">
      <c r="A18" s="1744"/>
      <c r="B18" s="1663"/>
      <c r="C18" s="1664" t="s">
        <v>1953</v>
      </c>
      <c r="D18" s="1665">
        <v>50</v>
      </c>
      <c r="E18" s="1665">
        <v>40</v>
      </c>
      <c r="F18" s="1665"/>
      <c r="G18" s="1665">
        <v>50</v>
      </c>
      <c r="H18" s="1665"/>
      <c r="I18" s="1665"/>
      <c r="J18" s="1675"/>
      <c r="K18" s="1755"/>
      <c r="L18" s="1704"/>
      <c r="M18" s="1704"/>
      <c r="N18" s="1675"/>
      <c r="O18" s="1676"/>
      <c r="P18" s="1675"/>
      <c r="Q18" s="1675"/>
      <c r="R18" s="1675"/>
      <c r="S18" s="1675"/>
      <c r="T18" s="1675"/>
      <c r="U18" s="1675"/>
    </row>
    <row r="19" spans="1:21">
      <c r="A19" s="1744"/>
      <c r="B19" s="1663"/>
      <c r="C19" s="1643" t="s">
        <v>1954</v>
      </c>
      <c r="D19" s="1739">
        <f>IF(B16="出让",IF(D17="","",ROUNDDOWN(MIN((D17-$D$3)/365,D18),2)),D18)</f>
        <v>43.79</v>
      </c>
      <c r="E19" s="1666">
        <f>IF(B16="出让",IF(E17="","",ROUNDDOWN(MIN((E17-$D$3)/365,E18),2)),E18)</f>
        <v>33.78</v>
      </c>
      <c r="F19" s="1666" t="str">
        <f>IF(B16="出让",IF(F17="","",ROUNDDOWN(MIN((F17-$D$3)/365,F18),2)),F18)</f>
        <v/>
      </c>
      <c r="G19" s="1666">
        <f>IF(B16="出让",IF(G17="","",ROUNDDOWN(MIN((G17-$D$3)/365,G18),2)),G18)</f>
        <v>43.79</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2057</v>
      </c>
      <c r="D20" s="3339"/>
      <c r="E20" s="3340"/>
      <c r="F20" s="3340"/>
      <c r="G20" s="3340"/>
      <c r="H20" s="3340"/>
      <c r="I20" s="3341"/>
      <c r="J20" s="1675"/>
      <c r="K20" s="1755"/>
      <c r="L20" s="1704"/>
      <c r="M20" s="1704"/>
      <c r="N20" s="1675"/>
      <c r="O20" s="1676"/>
      <c r="P20" s="1675"/>
      <c r="Q20" s="1675"/>
      <c r="R20" s="1675"/>
      <c r="S20" s="1675"/>
      <c r="T20" s="1675"/>
      <c r="U20" s="1675"/>
    </row>
    <row r="21" spans="1:21">
      <c r="A21" s="1744" t="s">
        <v>1955</v>
      </c>
      <c r="B21" s="1745" t="s">
        <v>1956</v>
      </c>
      <c r="C21" s="1740">
        <f>'数据-汇总表'!E3</f>
        <v>167887.58000000002</v>
      </c>
      <c r="D21" s="1741" t="s">
        <v>1957</v>
      </c>
      <c r="E21" s="3329" t="s">
        <v>1995</v>
      </c>
      <c r="F21" s="3330"/>
      <c r="G21" s="3330"/>
      <c r="H21" s="3330"/>
      <c r="I21" s="3331"/>
      <c r="J21" s="1675"/>
      <c r="K21" s="1755"/>
      <c r="L21" s="1704"/>
      <c r="M21" s="1704"/>
      <c r="N21" s="1675"/>
      <c r="O21" s="1676"/>
      <c r="P21" s="1675"/>
      <c r="Q21" s="1675"/>
      <c r="R21" s="1675"/>
      <c r="S21" s="1675"/>
      <c r="T21" s="1675"/>
      <c r="U21" s="1675"/>
    </row>
    <row r="22" spans="1:21">
      <c r="A22" s="3091" t="s">
        <v>952</v>
      </c>
      <c r="B22" s="1644" t="s">
        <v>1958</v>
      </c>
      <c r="C22" s="1667">
        <f>'数据-汇总表'!D3</f>
        <v>22322.400000000001</v>
      </c>
      <c r="D22" s="1668" t="s">
        <v>1957</v>
      </c>
      <c r="E22" s="3329" t="s">
        <v>2888</v>
      </c>
      <c r="F22" s="3330"/>
      <c r="G22" s="3330"/>
      <c r="H22" s="3330"/>
      <c r="I22" s="3331"/>
      <c r="J22" s="1675"/>
      <c r="K22" s="1755"/>
      <c r="L22" s="1704"/>
      <c r="M22" s="1704"/>
      <c r="N22" s="1675"/>
      <c r="O22" s="1676"/>
      <c r="P22" s="1675"/>
      <c r="Q22" s="1675"/>
      <c r="R22" s="1675"/>
      <c r="S22" s="1675"/>
      <c r="T22" s="1675"/>
      <c r="U22" s="1675"/>
    </row>
    <row r="23" spans="1:21" ht="47.4" thickBot="1">
      <c r="A23" s="1746" t="s">
        <v>1959</v>
      </c>
      <c r="B23" s="1682" t="s">
        <v>1960</v>
      </c>
      <c r="C23" s="1683"/>
      <c r="D23" s="1684" t="s">
        <v>1961</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1962</v>
      </c>
      <c r="B24" s="3332" t="s">
        <v>1963</v>
      </c>
      <c r="C24" s="3333"/>
      <c r="D24" s="3334" t="s">
        <v>1964</v>
      </c>
      <c r="E24" s="3335"/>
      <c r="F24" s="1689" t="s">
        <v>1965</v>
      </c>
      <c r="G24" s="1675"/>
      <c r="H24" s="1675"/>
      <c r="I24" s="1688"/>
      <c r="J24" s="1675"/>
      <c r="K24" s="3320" t="s">
        <v>1966</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31.2">
      <c r="A25" s="1732"/>
      <c r="B25" s="1729" t="s">
        <v>2322</v>
      </c>
      <c r="C25" s="1690" t="s">
        <v>1967</v>
      </c>
      <c r="D25" s="1691"/>
      <c r="E25" s="1692" t="s">
        <v>952</v>
      </c>
      <c r="F25" s="1693"/>
      <c r="G25" s="1675"/>
      <c r="H25" s="1675"/>
      <c r="I25" s="1688"/>
      <c r="J25" s="1675"/>
      <c r="K25" s="3320"/>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47.4" thickBot="1">
      <c r="A26" s="1733"/>
      <c r="B26" s="1730" t="s">
        <v>1968</v>
      </c>
      <c r="C26" s="1690" t="s">
        <v>2323</v>
      </c>
      <c r="D26" s="1643"/>
      <c r="E26" s="1643"/>
      <c r="F26" s="1669"/>
      <c r="G26" s="1675"/>
      <c r="H26" s="1675"/>
      <c r="I26" s="1688"/>
      <c r="J26" s="1675"/>
      <c r="K26" s="3320"/>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1969</v>
      </c>
      <c r="B27" s="1734" t="s">
        <v>1970</v>
      </c>
      <c r="C27" s="1694"/>
      <c r="D27" s="2612" t="s">
        <v>1970</v>
      </c>
      <c r="E27" s="1695"/>
      <c r="F27" s="1669"/>
      <c r="G27" s="1675"/>
      <c r="H27" s="1675"/>
      <c r="I27" s="1688"/>
      <c r="J27" s="1675"/>
      <c r="K27" s="1755"/>
      <c r="L27" s="1704"/>
      <c r="M27" s="1704"/>
      <c r="N27" s="1675"/>
      <c r="O27" s="1676"/>
      <c r="P27" s="1675"/>
      <c r="Q27" s="1675"/>
      <c r="R27" s="1675"/>
      <c r="S27" s="1675"/>
      <c r="T27" s="1675"/>
      <c r="U27" s="1675"/>
    </row>
    <row r="28" spans="1:21">
      <c r="A28" s="1737"/>
      <c r="B28" s="1734" t="s">
        <v>1971</v>
      </c>
      <c r="C28" s="1696"/>
      <c r="D28" s="2613" t="s">
        <v>1971</v>
      </c>
      <c r="E28" s="1697"/>
      <c r="F28" s="1669"/>
      <c r="G28" s="1675"/>
      <c r="H28" s="1675"/>
      <c r="I28" s="1688"/>
      <c r="J28" s="1675"/>
      <c r="K28" s="1755"/>
      <c r="L28" s="1704"/>
      <c r="M28" s="1704"/>
      <c r="N28" s="1675"/>
      <c r="O28" s="1676"/>
      <c r="P28" s="1675"/>
      <c r="Q28" s="1675"/>
      <c r="R28" s="1675"/>
      <c r="S28" s="1675"/>
      <c r="T28" s="1675"/>
      <c r="U28" s="1675"/>
    </row>
    <row r="29" spans="1:21">
      <c r="A29" s="1737"/>
      <c r="B29" s="1734" t="s">
        <v>1972</v>
      </c>
      <c r="C29" s="1696"/>
      <c r="D29" s="2613" t="s">
        <v>1972</v>
      </c>
      <c r="E29" s="1697"/>
      <c r="F29" s="1669"/>
      <c r="G29" s="1675"/>
      <c r="H29" s="1675"/>
      <c r="I29" s="1688"/>
      <c r="J29" s="1675"/>
      <c r="K29" s="1755"/>
      <c r="L29" s="1704"/>
      <c r="M29" s="1704"/>
      <c r="N29" s="1675"/>
      <c r="O29" s="1676"/>
      <c r="P29" s="1675"/>
      <c r="Q29" s="1675"/>
      <c r="R29" s="1675"/>
      <c r="S29" s="1675"/>
      <c r="T29" s="1675"/>
      <c r="U29" s="1675"/>
    </row>
    <row r="30" spans="1:21" ht="16.2" thickBot="1">
      <c r="A30" s="1738"/>
      <c r="B30" s="1735" t="s">
        <v>1973</v>
      </c>
      <c r="C30" s="1698"/>
      <c r="D30" s="2614" t="s">
        <v>1973</v>
      </c>
      <c r="E30" s="1699"/>
      <c r="F30" s="1670"/>
      <c r="G30" s="1723"/>
      <c r="H30" s="1723"/>
      <c r="I30" s="1724"/>
      <c r="J30" s="1675"/>
      <c r="K30" s="1755"/>
      <c r="L30" s="1704"/>
      <c r="M30" s="1704"/>
      <c r="N30" s="1675"/>
      <c r="O30" s="1676"/>
      <c r="P30" s="1675"/>
      <c r="Q30" s="1675"/>
      <c r="R30" s="1675"/>
      <c r="S30" s="1675"/>
      <c r="T30" s="1675"/>
      <c r="U30" s="1675"/>
    </row>
    <row r="31" spans="1:21" ht="16.2" thickTop="1">
      <c r="A31" s="3347" t="s">
        <v>1998</v>
      </c>
      <c r="B31" s="1745" t="s">
        <v>1999</v>
      </c>
      <c r="C31" s="3345"/>
      <c r="D31" s="3346"/>
      <c r="E31" s="1675"/>
      <c r="F31" s="1675"/>
      <c r="G31" s="1675"/>
      <c r="H31" s="1675"/>
      <c r="I31" s="1688"/>
      <c r="J31" s="1675"/>
      <c r="K31" s="2419"/>
      <c r="L31" s="1675"/>
      <c r="M31" s="1675"/>
      <c r="N31" s="1675"/>
      <c r="O31" s="1675"/>
      <c r="P31" s="1675"/>
      <c r="Q31" s="1675"/>
      <c r="R31" s="1675"/>
      <c r="S31" s="1675"/>
      <c r="T31" s="1675"/>
      <c r="U31" s="1675"/>
    </row>
    <row r="32" spans="1:21">
      <c r="A32" s="3347"/>
      <c r="B32" s="1644" t="s">
        <v>2000</v>
      </c>
      <c r="C32" s="1700"/>
      <c r="D32" s="1701"/>
      <c r="E32" s="1675"/>
      <c r="F32" s="1675"/>
      <c r="G32" s="1675"/>
      <c r="H32" s="1675"/>
      <c r="I32" s="1688"/>
      <c r="J32" s="1675"/>
      <c r="K32" s="2419"/>
      <c r="L32" s="1675"/>
      <c r="M32" s="1675"/>
      <c r="N32" s="1675"/>
      <c r="O32" s="1675"/>
      <c r="P32" s="1675"/>
      <c r="Q32" s="1675"/>
      <c r="R32" s="1675"/>
      <c r="S32" s="1675"/>
      <c r="T32" s="1675"/>
      <c r="U32" s="1675"/>
    </row>
    <row r="33" spans="1:21">
      <c r="A33" s="3347"/>
      <c r="B33" s="1644" t="s">
        <v>2001</v>
      </c>
      <c r="C33" s="1702"/>
      <c r="D33" s="1819"/>
      <c r="E33" s="1675"/>
      <c r="F33" s="1675"/>
      <c r="G33" s="1675"/>
      <c r="H33" s="1675"/>
      <c r="I33" s="1688"/>
      <c r="J33" s="1675"/>
      <c r="K33" s="2419"/>
      <c r="L33" s="1675"/>
      <c r="M33" s="1675"/>
      <c r="N33" s="1675"/>
      <c r="O33" s="1675"/>
      <c r="P33" s="1675"/>
      <c r="Q33" s="1675"/>
      <c r="R33" s="1675"/>
      <c r="S33" s="1675"/>
      <c r="T33" s="1675"/>
      <c r="U33" s="1675"/>
    </row>
    <row r="34" spans="1:21">
      <c r="A34" s="3348"/>
      <c r="B34" s="1644" t="s">
        <v>2002</v>
      </c>
      <c r="C34" s="3349"/>
      <c r="D34" s="3350"/>
      <c r="E34" s="1675"/>
      <c r="F34" s="1675"/>
      <c r="G34" s="1675"/>
      <c r="H34" s="1675"/>
      <c r="I34" s="1688"/>
      <c r="J34" s="1675"/>
      <c r="K34" s="2419"/>
      <c r="L34" s="1675"/>
      <c r="M34" s="1675"/>
      <c r="N34" s="1675"/>
      <c r="O34" s="1675"/>
      <c r="P34" s="1675"/>
      <c r="Q34" s="1675"/>
      <c r="R34" s="1675"/>
      <c r="S34" s="1675"/>
      <c r="T34" s="1675"/>
      <c r="U34" s="1675"/>
    </row>
    <row r="35" spans="1:21">
      <c r="A35" s="3351" t="s">
        <v>847</v>
      </c>
      <c r="B35" s="1703"/>
      <c r="C35" s="1757" t="str">
        <f>IF(B35="场地平整","——","具体情况：")</f>
        <v>具体情况：</v>
      </c>
      <c r="D35" s="3353"/>
      <c r="E35" s="3354"/>
      <c r="F35" s="3354"/>
      <c r="G35" s="3354"/>
      <c r="H35" s="3354"/>
      <c r="I35" s="3355"/>
      <c r="J35" s="1675"/>
      <c r="K35" s="1756"/>
      <c r="L35" s="1704"/>
      <c r="M35" s="1704"/>
      <c r="N35" s="1675"/>
      <c r="O35" s="1676"/>
      <c r="P35" s="1675"/>
      <c r="Q35" s="1675"/>
      <c r="R35" s="1675"/>
      <c r="S35" s="1675"/>
      <c r="T35" s="1675"/>
      <c r="U35" s="1675"/>
    </row>
    <row r="36" spans="1:21">
      <c r="A36" s="3347"/>
      <c r="B36" s="3356" t="s">
        <v>2051</v>
      </c>
      <c r="C36" s="3357"/>
      <c r="D36" s="1773"/>
      <c r="E36" s="3358"/>
      <c r="F36" s="3358"/>
      <c r="G36" s="1668" t="str">
        <f>IF(B35="场地未平整","估价结果处理","")</f>
        <v/>
      </c>
      <c r="H36" s="3359"/>
      <c r="I36" s="3359"/>
      <c r="J36" s="1675"/>
      <c r="K36" s="1756"/>
      <c r="L36" s="1704"/>
      <c r="M36" s="1704"/>
      <c r="N36" s="1675"/>
      <c r="O36" s="1676"/>
      <c r="P36" s="1675"/>
      <c r="Q36" s="1675"/>
      <c r="R36" s="1675"/>
      <c r="S36" s="1675"/>
      <c r="T36" s="1675"/>
      <c r="U36" s="1675"/>
    </row>
    <row r="37" spans="1:21" ht="31.2">
      <c r="A37" s="3347"/>
      <c r="B37" s="3336" t="s">
        <v>848</v>
      </c>
      <c r="C37" s="1705" t="s">
        <v>849</v>
      </c>
      <c r="D37" s="1706"/>
      <c r="E37" s="1707"/>
      <c r="F37" s="1675"/>
      <c r="G37" s="1675"/>
      <c r="H37" s="1675"/>
      <c r="I37" s="1688"/>
      <c r="J37" s="1675"/>
      <c r="K37" s="1756"/>
      <c r="L37" s="1675"/>
      <c r="M37" s="1675"/>
      <c r="N37" s="1675"/>
      <c r="O37" s="1675"/>
      <c r="P37" s="1675"/>
      <c r="Q37" s="1675"/>
      <c r="R37" s="1675"/>
      <c r="S37" s="1675"/>
      <c r="T37" s="1675"/>
      <c r="U37" s="1675"/>
    </row>
    <row r="38" spans="1:21">
      <c r="A38" s="3347"/>
      <c r="B38" s="3337"/>
      <c r="C38" s="1652" t="s">
        <v>850</v>
      </c>
      <c r="D38" s="1772">
        <f>ROUNDDOWN(MIN(('数据-取费表'!$B$2-D37)/365,D34),1)</f>
        <v>120.2</v>
      </c>
      <c r="E38" s="1708" t="s">
        <v>851</v>
      </c>
      <c r="F38" s="1675"/>
      <c r="G38" s="1675"/>
      <c r="H38" s="1675"/>
      <c r="I38" s="1688"/>
      <c r="J38" s="1675"/>
      <c r="K38" s="1756"/>
      <c r="L38" s="1675"/>
      <c r="M38" s="1675"/>
      <c r="N38" s="1675"/>
      <c r="O38" s="1675"/>
      <c r="P38" s="1675"/>
      <c r="Q38" s="1675"/>
      <c r="R38" s="1675"/>
      <c r="S38" s="1675"/>
      <c r="T38" s="1675"/>
      <c r="U38" s="1675"/>
    </row>
    <row r="39" spans="1:21">
      <c r="A39" s="3348"/>
      <c r="B39" s="3338"/>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1974</v>
      </c>
      <c r="B40" s="1671"/>
      <c r="C40" s="1671"/>
      <c r="D40" s="1671"/>
      <c r="E40" s="1671"/>
      <c r="F40" s="1671"/>
      <c r="G40" s="1671"/>
      <c r="H40" s="1671"/>
      <c r="I40" s="1688"/>
      <c r="J40" s="1675"/>
      <c r="K40" s="1711">
        <f>COUNTIF(B40:H40,"——")</f>
        <v>0</v>
      </c>
      <c r="L40" s="1680" t="s">
        <v>1975</v>
      </c>
      <c r="M40" s="1677" t="s">
        <v>1976</v>
      </c>
      <c r="N40" s="1677" t="s">
        <v>1977</v>
      </c>
      <c r="O40" s="1677" t="s">
        <v>1978</v>
      </c>
      <c r="P40" s="1677" t="s">
        <v>1979</v>
      </c>
      <c r="Q40" s="1677" t="s">
        <v>1980</v>
      </c>
      <c r="R40" s="1677" t="s">
        <v>1981</v>
      </c>
      <c r="S40" s="3319" t="s">
        <v>1982</v>
      </c>
      <c r="T40" s="1712" t="str">
        <f>NUMBERSTRING(7-K40,1)&amp;"通"</f>
        <v>七通</v>
      </c>
      <c r="U40" s="1675"/>
    </row>
    <row r="41" spans="1:21">
      <c r="A41" s="1646"/>
      <c r="B41" s="3352" t="s">
        <v>1720</v>
      </c>
      <c r="C41" s="3352"/>
      <c r="D41" s="3352"/>
      <c r="E41" s="3352"/>
      <c r="F41" s="1713" t="str">
        <f>C10</f>
        <v>重庆市</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319"/>
      <c r="T41" s="1714" t="str">
        <f>IF(T40="一通",L41,IF(T40="二通",M41,IF(T40="三通",N41,IF(T40="四通",O41,IF(T40="五通",P41,IF(T40="六通",Q41,R41))))))</f>
        <v>、、、、、、</v>
      </c>
      <c r="U41" s="1675"/>
    </row>
    <row r="42" spans="1:21">
      <c r="A42" s="1716"/>
      <c r="B42" s="1747" t="s">
        <v>1896</v>
      </c>
      <c r="C42" s="1747" t="s">
        <v>1897</v>
      </c>
      <c r="D42" s="1747" t="s">
        <v>1898</v>
      </c>
      <c r="E42" s="1680" t="s">
        <v>1899</v>
      </c>
      <c r="F42" s="1717"/>
      <c r="G42" s="1675"/>
      <c r="H42" s="1675"/>
      <c r="I42" s="1688"/>
      <c r="J42" s="1675"/>
      <c r="K42" s="1755"/>
      <c r="L42" s="1704"/>
      <c r="M42" s="1704"/>
      <c r="N42" s="1675"/>
      <c r="O42" s="1676"/>
      <c r="P42" s="1675"/>
      <c r="Q42" s="1675"/>
      <c r="R42" s="1675"/>
      <c r="S42" s="1675"/>
      <c r="T42" s="1675"/>
      <c r="U42" s="1675"/>
    </row>
    <row r="43" spans="1:21">
      <c r="A43" s="1718" t="s">
        <v>1705</v>
      </c>
      <c r="B43" s="1719"/>
      <c r="C43" s="1719"/>
      <c r="D43" s="1719"/>
      <c r="E43" s="1719"/>
      <c r="F43" s="1720"/>
      <c r="G43" s="1675"/>
      <c r="H43" s="1675"/>
      <c r="I43" s="1688"/>
      <c r="J43" s="1675"/>
      <c r="K43" s="1755"/>
      <c r="L43" s="1704"/>
      <c r="M43" s="1704"/>
      <c r="N43" s="1675"/>
      <c r="O43" s="1676"/>
      <c r="P43" s="1675"/>
      <c r="Q43" s="1675"/>
      <c r="R43" s="1675"/>
      <c r="S43" s="1675"/>
      <c r="T43" s="1675"/>
      <c r="U43" s="1675"/>
    </row>
    <row r="44" spans="1:21">
      <c r="A44" s="1718" t="s">
        <v>1706</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20" customFormat="1" ht="21" thickBot="1">
      <c r="A45" s="3021" t="s">
        <v>2889</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2003</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46.8">
      <c r="A48" s="1680" t="s">
        <v>2004</v>
      </c>
      <c r="B48" s="1667" t="s">
        <v>2005</v>
      </c>
      <c r="C48" s="1667" t="s">
        <v>2006</v>
      </c>
      <c r="D48" s="1667" t="s">
        <v>2007</v>
      </c>
      <c r="E48" s="1667" t="s">
        <v>2008</v>
      </c>
      <c r="F48" s="1667" t="s">
        <v>2009</v>
      </c>
      <c r="G48" s="1667" t="s">
        <v>2010</v>
      </c>
      <c r="H48" s="1667" t="s">
        <v>2011</v>
      </c>
      <c r="I48" s="1667" t="s">
        <v>2012</v>
      </c>
      <c r="J48" s="1753" t="s">
        <v>2013</v>
      </c>
      <c r="K48" s="1747" t="s">
        <v>2014</v>
      </c>
      <c r="L48" s="1747" t="s">
        <v>2015</v>
      </c>
      <c r="M48" s="1747" t="s">
        <v>2016</v>
      </c>
      <c r="N48" s="1667" t="s">
        <v>2017</v>
      </c>
      <c r="O48" s="1667" t="s">
        <v>2018</v>
      </c>
      <c r="P48" s="1667" t="s">
        <v>2019</v>
      </c>
      <c r="Q48" s="1680" t="s">
        <v>2020</v>
      </c>
      <c r="R48" s="1680" t="s">
        <v>2021</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11"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2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19" sqref="J19"/>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2" width="9.44140625" style="15" customWidth="1"/>
    <col min="13" max="13" width="10.6640625" style="15" customWidth="1"/>
    <col min="14"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1" t="s">
        <v>2330</v>
      </c>
      <c r="BA2" s="2322" t="s">
        <v>2329</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f>面积!C7</f>
        <v>22322.400000000001</v>
      </c>
      <c r="B3" s="22">
        <f>IF(C3="否",G5-AT5,G5)</f>
        <v>167887.58000000002</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3"/>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167887.58000000002</v>
      </c>
      <c r="H5" s="27">
        <f t="shared" ref="H5:AT5" si="0">SUM(H13:H641)</f>
        <v>163046.01</v>
      </c>
      <c r="I5" s="27">
        <f t="shared" si="0"/>
        <v>87034.41</v>
      </c>
      <c r="J5" s="27">
        <f t="shared" si="0"/>
        <v>0</v>
      </c>
      <c r="K5" s="27">
        <f t="shared" si="0"/>
        <v>9223.17</v>
      </c>
      <c r="L5" s="27">
        <f t="shared" si="0"/>
        <v>0</v>
      </c>
      <c r="M5" s="27">
        <f t="shared" si="0"/>
        <v>24650</v>
      </c>
      <c r="N5" s="27">
        <f t="shared" si="0"/>
        <v>0</v>
      </c>
      <c r="O5" s="27">
        <f t="shared" si="0"/>
        <v>7507.5299999999988</v>
      </c>
      <c r="P5" s="27">
        <f t="shared" si="0"/>
        <v>0</v>
      </c>
      <c r="Q5" s="27">
        <f t="shared" si="0"/>
        <v>34630.9</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4841.57</v>
      </c>
      <c r="AD5" s="27">
        <f t="shared" si="0"/>
        <v>75.659999999999968</v>
      </c>
      <c r="AE5" s="27">
        <f t="shared" si="0"/>
        <v>0</v>
      </c>
      <c r="AF5" s="27">
        <f t="shared" si="0"/>
        <v>0</v>
      </c>
      <c r="AG5" s="27">
        <f t="shared" si="0"/>
        <v>0</v>
      </c>
      <c r="AH5" s="27">
        <f t="shared" si="0"/>
        <v>521.46</v>
      </c>
      <c r="AI5" s="27">
        <f t="shared" si="0"/>
        <v>0</v>
      </c>
      <c r="AJ5" s="27">
        <f t="shared" si="0"/>
        <v>0</v>
      </c>
      <c r="AK5" s="27">
        <f t="shared" si="0"/>
        <v>0</v>
      </c>
      <c r="AL5" s="27">
        <f t="shared" si="0"/>
        <v>1163.04</v>
      </c>
      <c r="AM5" s="27">
        <f t="shared" si="0"/>
        <v>0</v>
      </c>
      <c r="AN5" s="27">
        <f t="shared" si="0"/>
        <v>3081.41</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167887.58000000002</v>
      </c>
      <c r="BA5" s="29">
        <f t="shared" si="1"/>
        <v>163046.01</v>
      </c>
      <c r="BB5" s="29">
        <f t="shared" si="1"/>
        <v>87034.41</v>
      </c>
      <c r="BC5" s="29">
        <f t="shared" si="1"/>
        <v>9223.17</v>
      </c>
      <c r="BD5" s="29">
        <f t="shared" si="1"/>
        <v>24650</v>
      </c>
      <c r="BE5" s="29">
        <f t="shared" si="1"/>
        <v>7507.5299999999988</v>
      </c>
      <c r="BF5" s="29">
        <f t="shared" si="1"/>
        <v>34630.9</v>
      </c>
      <c r="BG5" s="29">
        <f t="shared" si="1"/>
        <v>0</v>
      </c>
      <c r="BH5" s="29">
        <f t="shared" si="1"/>
        <v>0</v>
      </c>
      <c r="BI5" s="29">
        <f t="shared" si="1"/>
        <v>0</v>
      </c>
      <c r="BJ5" s="29">
        <f t="shared" si="1"/>
        <v>0</v>
      </c>
      <c r="BK5" s="29">
        <f t="shared" si="1"/>
        <v>0</v>
      </c>
      <c r="BL5" s="29">
        <f t="shared" si="1"/>
        <v>4841.57</v>
      </c>
      <c r="BM5" s="29">
        <f t="shared" si="1"/>
        <v>75.659999999999968</v>
      </c>
      <c r="BN5" s="29">
        <f t="shared" si="1"/>
        <v>0</v>
      </c>
      <c r="BO5" s="29">
        <f t="shared" si="1"/>
        <v>521.46</v>
      </c>
      <c r="BP5" s="29">
        <f t="shared" si="1"/>
        <v>0</v>
      </c>
      <c r="BQ5" s="29">
        <f t="shared" si="1"/>
        <v>1163.04</v>
      </c>
      <c r="BR5" s="29">
        <f t="shared" si="1"/>
        <v>3081.41</v>
      </c>
      <c r="BS5" s="29">
        <f t="shared" si="1"/>
        <v>0</v>
      </c>
      <c r="BT5" s="30">
        <f t="shared" si="1"/>
        <v>0</v>
      </c>
    </row>
    <row r="6" spans="1:72" s="37" customFormat="1" ht="13.2">
      <c r="A6" s="26" t="s">
        <v>169</v>
      </c>
      <c r="B6" s="31"/>
      <c r="C6" s="31"/>
      <c r="D6" s="32"/>
      <c r="E6" s="27">
        <f>H6+AC6+AT6</f>
        <v>22322.400000000001</v>
      </c>
      <c r="F6" s="27" t="s">
        <v>1</v>
      </c>
      <c r="G6" s="27" t="s">
        <v>2</v>
      </c>
      <c r="H6" s="33">
        <f>SUMIF(I$12:AB$12,"总值",I6:AB6)</f>
        <v>21678.66</v>
      </c>
      <c r="I6" s="27">
        <f t="shared" ref="I6:AB6" si="2">ROUND($A$3*I5/$B$3,2)</f>
        <v>11572.13</v>
      </c>
      <c r="J6" s="27">
        <f t="shared" si="2"/>
        <v>0</v>
      </c>
      <c r="K6" s="27">
        <f t="shared" si="2"/>
        <v>1226.32</v>
      </c>
      <c r="L6" s="27">
        <f t="shared" si="2"/>
        <v>0</v>
      </c>
      <c r="M6" s="27">
        <f t="shared" si="2"/>
        <v>3277.47</v>
      </c>
      <c r="N6" s="27">
        <f t="shared" si="2"/>
        <v>0</v>
      </c>
      <c r="O6" s="27">
        <f t="shared" si="2"/>
        <v>998.2</v>
      </c>
      <c r="P6" s="27">
        <f t="shared" si="2"/>
        <v>0</v>
      </c>
      <c r="Q6" s="27">
        <f t="shared" si="2"/>
        <v>4604.54</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643.74</v>
      </c>
      <c r="AD6" s="27">
        <f t="shared" ref="AD6:AS6" si="3">ROUND($A$3*AD5/$B$3,2)</f>
        <v>10.06</v>
      </c>
      <c r="AE6" s="27">
        <f t="shared" si="3"/>
        <v>0</v>
      </c>
      <c r="AF6" s="27">
        <f t="shared" si="3"/>
        <v>0</v>
      </c>
      <c r="AG6" s="27">
        <f t="shared" si="3"/>
        <v>0</v>
      </c>
      <c r="AH6" s="27">
        <f t="shared" si="3"/>
        <v>69.33</v>
      </c>
      <c r="AI6" s="27">
        <f t="shared" si="3"/>
        <v>0</v>
      </c>
      <c r="AJ6" s="27">
        <f t="shared" si="3"/>
        <v>0</v>
      </c>
      <c r="AK6" s="27">
        <f t="shared" si="3"/>
        <v>0</v>
      </c>
      <c r="AL6" s="27">
        <f t="shared" si="3"/>
        <v>154.63999999999999</v>
      </c>
      <c r="AM6" s="27">
        <f t="shared" si="3"/>
        <v>0</v>
      </c>
      <c r="AN6" s="27">
        <f t="shared" si="3"/>
        <v>409.71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22322.400000000001</v>
      </c>
      <c r="AZ6" s="27" t="s">
        <v>3</v>
      </c>
      <c r="BA6" s="27">
        <f>ROUND($AY$6*BA5/$AZ$5,2)</f>
        <v>21678.66</v>
      </c>
      <c r="BB6" s="27">
        <f>ROUND($AY$6*BB5/$AZ$5,2)</f>
        <v>11572.13</v>
      </c>
      <c r="BC6" s="27">
        <f t="shared" ref="BC6:BH6" si="4">ROUND($AY$6*BC5/$AZ$5,2)</f>
        <v>1226.32</v>
      </c>
      <c r="BD6" s="27">
        <f t="shared" si="4"/>
        <v>3277.47</v>
      </c>
      <c r="BE6" s="27">
        <f t="shared" si="4"/>
        <v>998.2</v>
      </c>
      <c r="BF6" s="27">
        <f t="shared" si="4"/>
        <v>4604.54</v>
      </c>
      <c r="BG6" s="27">
        <f t="shared" si="4"/>
        <v>0</v>
      </c>
      <c r="BH6" s="27">
        <f t="shared" si="4"/>
        <v>0</v>
      </c>
      <c r="BI6" s="27">
        <f t="shared" ref="BI6:BT6" si="5">ROUND($AY$6*BI5/$AZ$5,2)</f>
        <v>0</v>
      </c>
      <c r="BJ6" s="27">
        <f t="shared" si="5"/>
        <v>0</v>
      </c>
      <c r="BK6" s="27">
        <f t="shared" si="5"/>
        <v>0</v>
      </c>
      <c r="BL6" s="27">
        <f t="shared" si="5"/>
        <v>643.74</v>
      </c>
      <c r="BM6" s="27">
        <f t="shared" si="5"/>
        <v>10.06</v>
      </c>
      <c r="BN6" s="27">
        <f t="shared" si="5"/>
        <v>0</v>
      </c>
      <c r="BO6" s="27">
        <f t="shared" si="5"/>
        <v>69.33</v>
      </c>
      <c r="BP6" s="27">
        <f t="shared" si="5"/>
        <v>0</v>
      </c>
      <c r="BQ6" s="27">
        <f t="shared" si="5"/>
        <v>154.63999999999999</v>
      </c>
      <c r="BR6" s="27">
        <f t="shared" si="5"/>
        <v>409.71</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79"/>
      <c r="AT8" s="2310"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67" t="s">
        <v>3133</v>
      </c>
      <c r="J9" s="51"/>
      <c r="K9" s="2967" t="s">
        <v>3133</v>
      </c>
      <c r="L9" s="51"/>
      <c r="M9" s="2967" t="s">
        <v>3133</v>
      </c>
      <c r="N9" s="51"/>
      <c r="O9" s="59" t="s">
        <v>3278</v>
      </c>
      <c r="P9" s="51"/>
      <c r="Q9" s="59" t="s">
        <v>3278</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1"/>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67" t="s">
        <v>923</v>
      </c>
      <c r="J10" s="51"/>
      <c r="K10" s="2969" t="s">
        <v>1677</v>
      </c>
      <c r="L10" s="51"/>
      <c r="M10" s="2969" t="s">
        <v>3132</v>
      </c>
      <c r="N10" s="51"/>
      <c r="O10" s="66" t="s">
        <v>3132</v>
      </c>
      <c r="P10" s="51"/>
      <c r="Q10" s="66" t="s">
        <v>3288</v>
      </c>
      <c r="R10" s="51"/>
      <c r="S10" s="66"/>
      <c r="T10" s="51"/>
      <c r="U10" s="66"/>
      <c r="V10" s="51"/>
      <c r="W10" s="66"/>
      <c r="X10" s="51"/>
      <c r="Y10" s="66"/>
      <c r="Z10" s="51"/>
      <c r="AA10" s="66"/>
      <c r="AB10" s="51"/>
      <c r="AC10" s="55"/>
      <c r="AD10" s="2296" t="s">
        <v>2314</v>
      </c>
      <c r="AE10" s="2318"/>
      <c r="AF10" s="2296" t="s">
        <v>2314</v>
      </c>
      <c r="AG10" s="2318"/>
      <c r="AH10" s="2296" t="s">
        <v>2315</v>
      </c>
      <c r="AI10" s="2318"/>
      <c r="AJ10" s="26" t="s">
        <v>2328</v>
      </c>
      <c r="AK10" s="2315"/>
      <c r="AL10" s="2296" t="s">
        <v>2316</v>
      </c>
      <c r="AM10" s="2297"/>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68"/>
      <c r="J11" s="71"/>
      <c r="K11" s="2968"/>
      <c r="L11" s="71"/>
      <c r="M11" s="70"/>
      <c r="N11" s="71"/>
      <c r="O11" s="70"/>
      <c r="P11" s="71"/>
      <c r="Q11" s="70"/>
      <c r="R11" s="71"/>
      <c r="S11" s="70"/>
      <c r="T11" s="71"/>
      <c r="U11" s="70"/>
      <c r="V11" s="71"/>
      <c r="W11" s="70"/>
      <c r="X11" s="71"/>
      <c r="Y11" s="70"/>
      <c r="Z11" s="71"/>
      <c r="AA11" s="70"/>
      <c r="AB11" s="71"/>
      <c r="AC11" s="55"/>
      <c r="AD11" s="2316" t="s">
        <v>2327</v>
      </c>
      <c r="AE11" s="1002"/>
      <c r="AF11" s="2316" t="s">
        <v>2327</v>
      </c>
      <c r="AG11" s="1002"/>
      <c r="AH11" s="2316" t="s">
        <v>2326</v>
      </c>
      <c r="AI11" s="2317"/>
      <c r="AJ11" s="2316" t="s">
        <v>2326</v>
      </c>
      <c r="AK11" s="2315"/>
      <c r="AL11" s="1000"/>
      <c r="AM11" s="1002"/>
      <c r="AN11" s="1000"/>
      <c r="AO11" s="1002"/>
      <c r="AP11" s="1184"/>
      <c r="AQ11" s="1186"/>
      <c r="AR11" s="1184"/>
      <c r="AS11" s="1186"/>
      <c r="AT11" s="1003"/>
      <c r="AU11" s="45"/>
      <c r="AV11" s="55"/>
      <c r="AW11" s="1003"/>
      <c r="AX11" s="55"/>
      <c r="AY11" s="62"/>
      <c r="AZ11" s="62"/>
      <c r="BA11" s="62"/>
      <c r="BB11" s="50" t="str">
        <f>I10</f>
        <v>住宅</v>
      </c>
      <c r="BC11" s="50" t="str">
        <f>K10</f>
        <v>办公</v>
      </c>
      <c r="BD11" s="50" t="str">
        <f>M10</f>
        <v>商业</v>
      </c>
      <c r="BE11" s="50" t="str">
        <f>O10</f>
        <v>商业</v>
      </c>
      <c r="BF11" s="50" t="str">
        <f>Q10</f>
        <v>车库</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63"/>
      <c r="B13" s="2963"/>
      <c r="C13" s="3186" t="s">
        <v>3255</v>
      </c>
      <c r="D13" s="2964" t="s">
        <v>1678</v>
      </c>
      <c r="E13" s="27">
        <f t="shared" ref="E13:E20" si="6">IF($C$3="是",ROUND($A$3*G13/$B$3,2),ROUND($A$3*(G13-AT13)/$B$3,2))</f>
        <v>11572.13</v>
      </c>
      <c r="F13" s="81"/>
      <c r="G13" s="82">
        <f t="shared" ref="G13:G20" si="7">H13+AC13+AT13</f>
        <v>87034.41</v>
      </c>
      <c r="H13" s="33">
        <f t="shared" ref="H13:H20" si="8">SUMIF(I$12:AB$12,"总值",I13:AB13)</f>
        <v>87034.41</v>
      </c>
      <c r="I13" s="2966">
        <f>面积!J8</f>
        <v>87034.41</v>
      </c>
      <c r="J13" s="2966"/>
      <c r="K13" s="2966"/>
      <c r="L13" s="2966"/>
      <c r="M13" s="2966"/>
      <c r="N13" s="83"/>
      <c r="O13" s="83"/>
      <c r="P13" s="83"/>
      <c r="Q13" s="83"/>
      <c r="R13" s="83"/>
      <c r="S13" s="83"/>
      <c r="T13" s="83"/>
      <c r="U13" s="83"/>
      <c r="V13" s="83"/>
      <c r="W13" s="83"/>
      <c r="X13" s="83"/>
      <c r="Y13" s="83"/>
      <c r="Z13" s="83"/>
      <c r="AA13" s="83"/>
      <c r="AB13" s="83"/>
      <c r="AC13" s="27">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7">
        <f t="shared" ref="AV13:AX20" si="10">A13</f>
        <v>0</v>
      </c>
      <c r="AW13" s="17">
        <f t="shared" si="10"/>
        <v>0</v>
      </c>
      <c r="AX13" s="17" t="str">
        <f t="shared" si="10"/>
        <v>住宅</v>
      </c>
      <c r="AY13" s="996">
        <f t="shared" ref="AY13:AY20" si="11">ROUND($AY$6*AZ13/$AZ$5,2)</f>
        <v>11572.13</v>
      </c>
      <c r="AZ13" s="27">
        <f t="shared" ref="AZ13:AZ20" si="12">BA13+BL13</f>
        <v>87034.41</v>
      </c>
      <c r="BA13" s="27">
        <f t="shared" ref="BA13:BA20" si="13">SUM(BB13:BK13)</f>
        <v>87034.41</v>
      </c>
      <c r="BB13" s="27">
        <f t="shared" ref="BB13:BB20" si="14">IF($D13="是",I13-J13,0)</f>
        <v>87034.41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3"/>
      <c r="B14" s="2963"/>
      <c r="C14" s="3199" t="s">
        <v>3365</v>
      </c>
      <c r="D14" s="2964" t="s">
        <v>1678</v>
      </c>
      <c r="E14" s="27">
        <f t="shared" si="6"/>
        <v>1226.32</v>
      </c>
      <c r="F14" s="81"/>
      <c r="G14" s="82">
        <f t="shared" si="7"/>
        <v>9223.17</v>
      </c>
      <c r="H14" s="33">
        <f t="shared" si="8"/>
        <v>9223.17</v>
      </c>
      <c r="I14" s="2966"/>
      <c r="J14" s="2966"/>
      <c r="K14" s="2966">
        <f>面积!Q4+面积!Q5+面积!Q7+面积!Q8+面积!Q9</f>
        <v>9223.17</v>
      </c>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0</v>
      </c>
      <c r="AW14" s="17">
        <f t="shared" si="10"/>
        <v>0</v>
      </c>
      <c r="AX14" s="17" t="str">
        <f t="shared" si="10"/>
        <v>公寓</v>
      </c>
      <c r="AY14" s="996">
        <f t="shared" si="11"/>
        <v>1226.32</v>
      </c>
      <c r="AZ14" s="27">
        <f t="shared" si="12"/>
        <v>9223.17</v>
      </c>
      <c r="BA14" s="27">
        <f t="shared" si="13"/>
        <v>9223.17</v>
      </c>
      <c r="BB14" s="27">
        <f t="shared" si="14"/>
        <v>0</v>
      </c>
      <c r="BC14" s="27">
        <f t="shared" si="15"/>
        <v>9223.17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3"/>
      <c r="B15" s="2963"/>
      <c r="C15" s="3199" t="s">
        <v>3256</v>
      </c>
      <c r="D15" s="2964" t="s">
        <v>1678</v>
      </c>
      <c r="E15" s="27">
        <f t="shared" si="6"/>
        <v>4275.68</v>
      </c>
      <c r="F15" s="81"/>
      <c r="G15" s="82">
        <f t="shared" si="7"/>
        <v>32157.53</v>
      </c>
      <c r="H15" s="33">
        <f t="shared" si="8"/>
        <v>32157.53</v>
      </c>
      <c r="I15" s="2966"/>
      <c r="J15" s="2966"/>
      <c r="K15" s="2966"/>
      <c r="L15" s="2966"/>
      <c r="M15" s="3250">
        <f>面积!Z16+面积!Z17+面积!Z18+面积!Z19</f>
        <v>24650</v>
      </c>
      <c r="N15" s="83"/>
      <c r="O15" s="3252">
        <f>面积!Z20</f>
        <v>7507.5299999999988</v>
      </c>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t="str">
        <f t="shared" si="10"/>
        <v>商业</v>
      </c>
      <c r="AY15" s="996">
        <f t="shared" si="11"/>
        <v>4275.68</v>
      </c>
      <c r="AZ15" s="27">
        <f t="shared" si="12"/>
        <v>32157.53</v>
      </c>
      <c r="BA15" s="27">
        <f t="shared" si="13"/>
        <v>32157.53</v>
      </c>
      <c r="BB15" s="27">
        <f t="shared" si="14"/>
        <v>0</v>
      </c>
      <c r="BC15" s="27">
        <f t="shared" si="15"/>
        <v>0</v>
      </c>
      <c r="BD15" s="27">
        <f t="shared" si="16"/>
        <v>24650</v>
      </c>
      <c r="BE15" s="27">
        <f t="shared" si="17"/>
        <v>7507.5299999999988</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3"/>
      <c r="B16" s="2963"/>
      <c r="C16" s="3199"/>
      <c r="D16" s="2964"/>
      <c r="E16" s="27">
        <f t="shared" si="6"/>
        <v>0</v>
      </c>
      <c r="F16" s="81"/>
      <c r="G16" s="82">
        <f t="shared" si="7"/>
        <v>0</v>
      </c>
      <c r="H16" s="33">
        <f t="shared" si="8"/>
        <v>0</v>
      </c>
      <c r="I16" s="2966"/>
      <c r="J16" s="2966"/>
      <c r="K16" s="2966"/>
      <c r="L16" s="2966"/>
      <c r="M16" s="2966"/>
      <c r="N16" s="83"/>
      <c r="O16" s="83"/>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5">
      <c r="A17" s="2963"/>
      <c r="B17" s="2963"/>
      <c r="C17" s="3241" t="s">
        <v>3302</v>
      </c>
      <c r="D17" s="2964" t="s">
        <v>1678</v>
      </c>
      <c r="E17" s="27">
        <f t="shared" si="6"/>
        <v>4604.54</v>
      </c>
      <c r="F17" s="81"/>
      <c r="G17" s="82">
        <f t="shared" si="7"/>
        <v>34630.9</v>
      </c>
      <c r="H17" s="33">
        <f t="shared" si="8"/>
        <v>34630.9</v>
      </c>
      <c r="I17" s="2966"/>
      <c r="J17" s="2966"/>
      <c r="K17" s="2966"/>
      <c r="L17" s="2966"/>
      <c r="M17" s="2966"/>
      <c r="N17" s="83"/>
      <c r="O17" s="83"/>
      <c r="P17" s="83"/>
      <c r="Q17" s="83">
        <f>面积!J17</f>
        <v>34630.9</v>
      </c>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t="str">
        <f t="shared" si="10"/>
        <v>车库</v>
      </c>
      <c r="AY17" s="996">
        <f t="shared" si="11"/>
        <v>4604.54</v>
      </c>
      <c r="AZ17" s="27">
        <f t="shared" si="12"/>
        <v>34630.9</v>
      </c>
      <c r="BA17" s="27">
        <f t="shared" si="13"/>
        <v>34630.9</v>
      </c>
      <c r="BB17" s="27">
        <f t="shared" si="14"/>
        <v>0</v>
      </c>
      <c r="BC17" s="27">
        <f t="shared" si="15"/>
        <v>0</v>
      </c>
      <c r="BD17" s="27">
        <f t="shared" si="16"/>
        <v>0</v>
      </c>
      <c r="BE17" s="27">
        <f t="shared" si="17"/>
        <v>0</v>
      </c>
      <c r="BF17" s="27">
        <f t="shared" si="18"/>
        <v>34630.9</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3242" t="s">
        <v>3298</v>
      </c>
      <c r="D18" s="2965" t="s">
        <v>1678</v>
      </c>
      <c r="E18" s="87">
        <f t="shared" si="6"/>
        <v>79.39</v>
      </c>
      <c r="F18" s="88"/>
      <c r="G18" s="89">
        <f t="shared" si="7"/>
        <v>597.12</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597.12</v>
      </c>
      <c r="AD18" s="92">
        <f>面积!J10-'数据-基础表'!AH18</f>
        <v>75.659999999999968</v>
      </c>
      <c r="AE18" s="92"/>
      <c r="AF18" s="1390"/>
      <c r="AG18" s="92"/>
      <c r="AH18" s="3253">
        <f>面积!J11</f>
        <v>521.46</v>
      </c>
      <c r="AI18" s="92"/>
      <c r="AJ18" s="92"/>
      <c r="AK18" s="92"/>
      <c r="AL18" s="1360"/>
      <c r="AM18" s="92"/>
      <c r="AN18" s="1390"/>
      <c r="AO18" s="92"/>
      <c r="AP18" s="92"/>
      <c r="AQ18" s="92"/>
      <c r="AR18" s="92"/>
      <c r="AS18" s="92"/>
      <c r="AT18" s="93"/>
      <c r="AU18" s="94"/>
      <c r="AV18" s="992">
        <f t="shared" si="10"/>
        <v>0</v>
      </c>
      <c r="AW18" s="992">
        <f t="shared" si="10"/>
        <v>0</v>
      </c>
      <c r="AX18" s="992" t="str">
        <f t="shared" si="10"/>
        <v>物管用房</v>
      </c>
      <c r="AY18" s="95">
        <f t="shared" si="11"/>
        <v>79.39</v>
      </c>
      <c r="AZ18" s="87">
        <f t="shared" si="12"/>
        <v>597.12</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597.12</v>
      </c>
      <c r="BM18" s="87">
        <f t="shared" si="25"/>
        <v>75.659999999999968</v>
      </c>
      <c r="BN18" s="87">
        <f t="shared" si="26"/>
        <v>0</v>
      </c>
      <c r="BO18" s="87">
        <f t="shared" si="27"/>
        <v>521.46</v>
      </c>
      <c r="BP18" s="87">
        <f t="shared" si="28"/>
        <v>0</v>
      </c>
      <c r="BQ18" s="87">
        <f t="shared" si="29"/>
        <v>0</v>
      </c>
      <c r="BR18" s="87">
        <f t="shared" si="30"/>
        <v>0</v>
      </c>
      <c r="BS18" s="87">
        <f t="shared" si="31"/>
        <v>0</v>
      </c>
      <c r="BT18" s="96">
        <f t="shared" si="32"/>
        <v>0</v>
      </c>
    </row>
    <row r="19" spans="1:72" ht="15.6">
      <c r="A19" s="84"/>
      <c r="B19" s="1394"/>
      <c r="C19" s="3243" t="s">
        <v>3299</v>
      </c>
      <c r="D19" s="2965" t="s">
        <v>1678</v>
      </c>
      <c r="E19" s="87">
        <f t="shared" si="6"/>
        <v>564.34</v>
      </c>
      <c r="F19" s="88"/>
      <c r="G19" s="89">
        <f t="shared" si="7"/>
        <v>4244.45</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4244.45</v>
      </c>
      <c r="AD19" s="92"/>
      <c r="AE19" s="92"/>
      <c r="AF19" s="1390"/>
      <c r="AG19" s="92"/>
      <c r="AH19" s="92"/>
      <c r="AI19" s="92"/>
      <c r="AJ19" s="92"/>
      <c r="AK19" s="92"/>
      <c r="AL19" s="92">
        <f>面积!J19+面积!J20</f>
        <v>1163.04</v>
      </c>
      <c r="AM19" s="92"/>
      <c r="AN19" s="1390">
        <f>面积!J18</f>
        <v>3081.41</v>
      </c>
      <c r="AO19" s="92"/>
      <c r="AP19" s="92"/>
      <c r="AQ19" s="92"/>
      <c r="AR19" s="92"/>
      <c r="AS19" s="92"/>
      <c r="AT19" s="93"/>
      <c r="AU19" s="94"/>
      <c r="AV19" s="992">
        <f t="shared" si="10"/>
        <v>0</v>
      </c>
      <c r="AW19" s="992">
        <f t="shared" si="10"/>
        <v>0</v>
      </c>
      <c r="AX19" s="992" t="str">
        <f t="shared" si="10"/>
        <v>设备用房</v>
      </c>
      <c r="AY19" s="95">
        <f t="shared" si="11"/>
        <v>564.34</v>
      </c>
      <c r="AZ19" s="87">
        <f t="shared" si="12"/>
        <v>4244.45</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4244.45</v>
      </c>
      <c r="BM19" s="87">
        <f t="shared" si="25"/>
        <v>0</v>
      </c>
      <c r="BN19" s="87">
        <f t="shared" si="26"/>
        <v>0</v>
      </c>
      <c r="BO19" s="87">
        <f t="shared" si="27"/>
        <v>0</v>
      </c>
      <c r="BP19" s="87">
        <f t="shared" si="28"/>
        <v>0</v>
      </c>
      <c r="BQ19" s="87">
        <f t="shared" si="29"/>
        <v>1163.04</v>
      </c>
      <c r="BR19" s="87">
        <f t="shared" si="30"/>
        <v>3081.41</v>
      </c>
      <c r="BS19" s="87">
        <f t="shared" si="31"/>
        <v>0</v>
      </c>
      <c r="BT19" s="96">
        <f t="shared" si="32"/>
        <v>0</v>
      </c>
    </row>
    <row r="20" spans="1:72" ht="15.6">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8"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360" t="s">
        <v>0</v>
      </c>
      <c r="B1" s="3360" t="s">
        <v>4</v>
      </c>
      <c r="C1" s="3360" t="s">
        <v>5</v>
      </c>
      <c r="D1" s="3361" t="s">
        <v>40</v>
      </c>
      <c r="E1" s="3361" t="s">
        <v>41</v>
      </c>
      <c r="F1" s="3361"/>
      <c r="G1" s="3361"/>
      <c r="H1" s="3361"/>
      <c r="I1" s="3361"/>
      <c r="J1" s="3361"/>
      <c r="K1" s="3361"/>
      <c r="L1" s="3361"/>
      <c r="M1" s="3361"/>
    </row>
    <row r="2" spans="1:13" ht="27" customHeight="1">
      <c r="A2" s="3360"/>
      <c r="B2" s="3360"/>
      <c r="C2" s="3360"/>
      <c r="D2" s="3361"/>
      <c r="E2" s="3361" t="s">
        <v>24</v>
      </c>
      <c r="F2" s="3361" t="s">
        <v>25</v>
      </c>
      <c r="G2" s="3361"/>
      <c r="H2" s="3361"/>
      <c r="I2" s="3361"/>
      <c r="J2" s="3361" t="s">
        <v>26</v>
      </c>
      <c r="K2" s="3361"/>
      <c r="L2" s="3361"/>
      <c r="M2" s="3361"/>
    </row>
    <row r="3" spans="1:13" ht="46.8">
      <c r="A3" s="3360"/>
      <c r="B3" s="3360"/>
      <c r="C3" s="3360"/>
      <c r="D3" s="3361"/>
      <c r="E3" s="3361"/>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61" t="s">
        <v>42</v>
      </c>
      <c r="B9" s="3361"/>
      <c r="C9" s="336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T82"/>
  <sheetViews>
    <sheetView topLeftCell="H7" workbookViewId="0">
      <selection activeCell="U20" sqref="U20"/>
    </sheetView>
  </sheetViews>
  <sheetFormatPr defaultColWidth="8.88671875" defaultRowHeight="14.4"/>
  <cols>
    <col min="1" max="1" width="8.88671875" style="3178"/>
    <col min="2" max="2" width="15.44140625" style="3178" customWidth="1"/>
    <col min="3" max="3" width="10.44140625" style="3178" bestFit="1" customWidth="1"/>
    <col min="4" max="4" width="10.44140625" style="3178" customWidth="1"/>
    <col min="5" max="8" width="8.88671875" style="3178"/>
    <col min="9" max="9" width="25.44140625" style="3178" customWidth="1"/>
    <col min="10" max="10" width="12.44140625" style="3178" customWidth="1"/>
    <col min="11" max="12" width="8.88671875" style="3178"/>
    <col min="13" max="14" width="10.44140625" style="3178" customWidth="1"/>
    <col min="15" max="15" width="11.21875" style="3178" customWidth="1"/>
    <col min="16" max="16" width="11.88671875" style="3178" customWidth="1"/>
    <col min="17" max="17" width="10.77734375" style="3178" customWidth="1"/>
    <col min="18" max="20" width="10.109375" style="3178" customWidth="1"/>
    <col min="21" max="25" width="8.88671875" style="3178"/>
    <col min="26" max="26" width="12.6640625" style="3178" customWidth="1"/>
    <col min="27" max="27" width="13.77734375" style="3178" customWidth="1"/>
    <col min="28" max="28" width="13.6640625" style="3178" customWidth="1"/>
    <col min="29" max="29" width="8.88671875" style="3178"/>
    <col min="30" max="30" width="9.5546875" style="3178" bestFit="1" customWidth="1"/>
    <col min="31" max="16384" width="8.88671875" style="3178"/>
  </cols>
  <sheetData>
    <row r="2" spans="2:46">
      <c r="B2" s="3177" t="s">
        <v>2993</v>
      </c>
      <c r="I2" s="3213" t="s">
        <v>3216</v>
      </c>
    </row>
    <row r="3" spans="2:46">
      <c r="B3" s="3178" t="s">
        <v>2994</v>
      </c>
      <c r="C3" s="3215" t="s">
        <v>2995</v>
      </c>
      <c r="I3" s="3227" t="s">
        <v>3222</v>
      </c>
      <c r="J3" s="3221">
        <v>22322.44</v>
      </c>
      <c r="M3" s="3219" t="s">
        <v>3276</v>
      </c>
      <c r="N3" s="3219" t="s">
        <v>3272</v>
      </c>
      <c r="O3" s="3219" t="s">
        <v>3273</v>
      </c>
      <c r="P3" s="3219" t="s">
        <v>3274</v>
      </c>
      <c r="Q3" s="3219" t="s">
        <v>3260</v>
      </c>
      <c r="R3" s="3219" t="s">
        <v>3269</v>
      </c>
      <c r="S3" s="3236"/>
      <c r="T3" s="3231"/>
    </row>
    <row r="4" spans="2:46">
      <c r="B4" s="3178" t="s">
        <v>2996</v>
      </c>
      <c r="C4" s="3215" t="s">
        <v>2997</v>
      </c>
      <c r="I4" s="3227" t="s">
        <v>3223</v>
      </c>
      <c r="J4" s="3221">
        <v>748</v>
      </c>
      <c r="M4" s="3386" t="s">
        <v>3251</v>
      </c>
      <c r="N4" s="3383" t="s">
        <v>3257</v>
      </c>
      <c r="O4" s="3219" t="s">
        <v>3258</v>
      </c>
      <c r="P4" s="3219" t="s">
        <v>3259</v>
      </c>
      <c r="Q4" s="3204">
        <v>98.95</v>
      </c>
      <c r="R4" s="3204">
        <v>98.95</v>
      </c>
      <c r="S4" s="3230">
        <f>Q4+Q5+Q7+Q8+Q9</f>
        <v>9223.17</v>
      </c>
      <c r="T4" s="3231"/>
      <c r="AK4" s="3197" t="s">
        <v>3153</v>
      </c>
      <c r="AL4" s="3197" t="s">
        <v>3160</v>
      </c>
      <c r="AM4" s="3197" t="s">
        <v>3162</v>
      </c>
      <c r="AN4" s="3197" t="s">
        <v>3167</v>
      </c>
      <c r="AO4" s="3197" t="s">
        <v>3171</v>
      </c>
      <c r="AP4" s="3396" t="s">
        <v>3172</v>
      </c>
      <c r="AQ4" s="3396"/>
      <c r="AR4" s="3396"/>
      <c r="AS4" s="3197" t="s">
        <v>3181</v>
      </c>
      <c r="AT4" s="3197" t="s">
        <v>3002</v>
      </c>
    </row>
    <row r="5" spans="2:46">
      <c r="B5" s="3178" t="s">
        <v>2998</v>
      </c>
      <c r="C5" s="3203" t="s">
        <v>2999</v>
      </c>
      <c r="I5" s="3227" t="s">
        <v>3224</v>
      </c>
      <c r="J5" s="3221">
        <v>2394</v>
      </c>
      <c r="M5" s="3387"/>
      <c r="N5" s="3384"/>
      <c r="O5" s="3383" t="s">
        <v>3261</v>
      </c>
      <c r="P5" s="3219" t="s">
        <v>3259</v>
      </c>
      <c r="Q5" s="3204">
        <v>149.53</v>
      </c>
      <c r="R5" s="3204">
        <v>149.53</v>
      </c>
      <c r="S5" s="3230"/>
      <c r="T5" s="3231"/>
      <c r="AK5" s="3195" t="s">
        <v>3156</v>
      </c>
      <c r="AL5" s="3195">
        <v>33</v>
      </c>
      <c r="AM5" s="3195" t="s">
        <v>3164</v>
      </c>
      <c r="AN5" s="3195" t="s">
        <v>3168</v>
      </c>
      <c r="AO5" s="3195">
        <v>720</v>
      </c>
      <c r="AP5" s="3195" t="s">
        <v>3173</v>
      </c>
      <c r="AQ5" s="3195" t="s">
        <v>3174</v>
      </c>
      <c r="AR5" s="3195" t="s">
        <v>3175</v>
      </c>
      <c r="AS5" s="3195">
        <v>396</v>
      </c>
      <c r="AT5" s="3195">
        <v>47520</v>
      </c>
    </row>
    <row r="6" spans="2:46">
      <c r="B6" s="3178" t="s">
        <v>3000</v>
      </c>
      <c r="C6" s="3178" t="s">
        <v>3001</v>
      </c>
      <c r="I6" s="3227" t="s">
        <v>3225</v>
      </c>
      <c r="J6" s="3221">
        <v>167887.58</v>
      </c>
      <c r="M6" s="3387"/>
      <c r="N6" s="3384"/>
      <c r="O6" s="3385"/>
      <c r="P6" s="3219" t="s">
        <v>3262</v>
      </c>
      <c r="Q6" s="3204">
        <v>33.119999999999997</v>
      </c>
      <c r="R6" s="3204">
        <v>0</v>
      </c>
      <c r="S6" s="3230"/>
      <c r="T6" s="3231"/>
      <c r="AK6" s="3195" t="s">
        <v>3154</v>
      </c>
      <c r="AL6" s="3195">
        <v>49</v>
      </c>
      <c r="AM6" s="3195" t="s">
        <v>3165</v>
      </c>
      <c r="AN6" s="3195" t="s">
        <v>3169</v>
      </c>
      <c r="AO6" s="3195">
        <v>800</v>
      </c>
      <c r="AP6" s="3195" t="s">
        <v>3176</v>
      </c>
      <c r="AQ6" s="3195" t="s">
        <v>3177</v>
      </c>
      <c r="AR6" s="3195" t="s">
        <v>3178</v>
      </c>
      <c r="AS6" s="3195">
        <v>196</v>
      </c>
      <c r="AT6" s="3195">
        <v>39200</v>
      </c>
    </row>
    <row r="7" spans="2:46">
      <c r="B7" s="3178" t="s">
        <v>3002</v>
      </c>
      <c r="C7" s="3178">
        <v>22322.400000000001</v>
      </c>
      <c r="I7" s="3227" t="s">
        <v>3217</v>
      </c>
      <c r="J7" s="3221"/>
      <c r="M7" s="3387"/>
      <c r="N7" s="3385"/>
      <c r="O7" s="3219" t="s">
        <v>3263</v>
      </c>
      <c r="P7" s="3219" t="s">
        <v>3259</v>
      </c>
      <c r="Q7" s="3204">
        <v>89.38</v>
      </c>
      <c r="R7" s="3204">
        <v>89.38</v>
      </c>
      <c r="S7" s="3230"/>
      <c r="T7" s="3231"/>
      <c r="AK7" s="3195" t="s">
        <v>3158</v>
      </c>
      <c r="AL7" s="3195">
        <v>19</v>
      </c>
      <c r="AM7" s="3195" t="s">
        <v>3166</v>
      </c>
      <c r="AN7" s="3195" t="s">
        <v>3170</v>
      </c>
      <c r="AO7" s="3195">
        <v>740</v>
      </c>
      <c r="AP7" s="3195" t="s">
        <v>3179</v>
      </c>
      <c r="AQ7" s="3195" t="s">
        <v>3180</v>
      </c>
      <c r="AR7" s="3195"/>
      <c r="AS7" s="3195">
        <v>418</v>
      </c>
      <c r="AT7" s="3195">
        <v>14200</v>
      </c>
    </row>
    <row r="8" spans="2:46">
      <c r="B8" s="3178" t="s">
        <v>3003</v>
      </c>
      <c r="C8" s="3178" t="s">
        <v>3131</v>
      </c>
      <c r="I8" s="3228" t="s">
        <v>3231</v>
      </c>
      <c r="J8" s="3228">
        <v>87034.41</v>
      </c>
      <c r="M8" s="3387"/>
      <c r="N8" s="3383" t="s">
        <v>3264</v>
      </c>
      <c r="O8" s="3219" t="s">
        <v>3265</v>
      </c>
      <c r="P8" s="3219" t="s">
        <v>3259</v>
      </c>
      <c r="Q8" s="3204">
        <v>8473.7999999999993</v>
      </c>
      <c r="R8" s="3204">
        <v>8473.7999999999993</v>
      </c>
      <c r="S8" s="3230"/>
      <c r="T8" s="3231"/>
      <c r="AK8" s="3195" t="s">
        <v>3159</v>
      </c>
      <c r="AL8" s="3196" t="s">
        <v>3161</v>
      </c>
      <c r="AM8" s="3195" t="s">
        <v>3163</v>
      </c>
      <c r="AN8" s="3195"/>
      <c r="AO8" s="3195"/>
      <c r="AP8" s="3195"/>
      <c r="AQ8" s="3195"/>
      <c r="AR8" s="3195"/>
      <c r="AS8" s="3195"/>
      <c r="AT8" s="3195">
        <v>13200</v>
      </c>
    </row>
    <row r="9" spans="2:46">
      <c r="I9" s="3228" t="s">
        <v>3232</v>
      </c>
      <c r="J9" s="3228">
        <v>41380.699999999997</v>
      </c>
      <c r="K9" s="3212" t="s">
        <v>3218</v>
      </c>
      <c r="M9" s="3387"/>
      <c r="N9" s="3384"/>
      <c r="O9" s="3219" t="s">
        <v>3266</v>
      </c>
      <c r="P9" s="3219" t="s">
        <v>3259</v>
      </c>
      <c r="Q9" s="3204">
        <v>411.51</v>
      </c>
      <c r="R9" s="3204">
        <v>411.51</v>
      </c>
      <c r="S9" s="3230"/>
      <c r="T9" s="3230"/>
      <c r="AK9" s="3397" t="s">
        <v>3182</v>
      </c>
      <c r="AL9" s="3398"/>
      <c r="AM9" s="3398"/>
      <c r="AN9" s="3398"/>
      <c r="AO9" s="3398"/>
      <c r="AP9" s="3398"/>
      <c r="AQ9" s="3398"/>
      <c r="AR9" s="3398"/>
      <c r="AS9" s="3399"/>
      <c r="AT9" s="3195">
        <f>SUM(AT5:AT8)</f>
        <v>114120</v>
      </c>
    </row>
    <row r="10" spans="2:46">
      <c r="I10" s="3228" t="s">
        <v>3233</v>
      </c>
      <c r="J10" s="3228">
        <v>597.12</v>
      </c>
      <c r="M10" s="3387"/>
      <c r="N10" s="3384"/>
      <c r="O10" s="3219" t="s">
        <v>3267</v>
      </c>
      <c r="P10" s="3219" t="s">
        <v>3268</v>
      </c>
      <c r="Q10" s="3204">
        <v>123.33</v>
      </c>
      <c r="R10" s="3204">
        <v>123.33</v>
      </c>
      <c r="S10" s="3230"/>
      <c r="T10" s="3230"/>
      <c r="AK10" s="3198" t="s">
        <v>3011</v>
      </c>
      <c r="AL10" s="3198">
        <f>ROUND(AT9/C7,2)</f>
        <v>5.1100000000000003</v>
      </c>
    </row>
    <row r="11" spans="2:46">
      <c r="B11" s="3177" t="s">
        <v>3004</v>
      </c>
      <c r="I11" s="3227" t="s">
        <v>3237</v>
      </c>
      <c r="J11" s="3221">
        <v>521.46</v>
      </c>
      <c r="M11" s="3387"/>
      <c r="N11" s="3385"/>
      <c r="O11" s="3219" t="s">
        <v>3270</v>
      </c>
      <c r="P11" s="3219" t="s">
        <v>3271</v>
      </c>
      <c r="Q11" s="3204">
        <v>48.49</v>
      </c>
      <c r="R11" s="3204">
        <v>48.49</v>
      </c>
      <c r="S11" s="3230"/>
      <c r="T11" s="3230"/>
    </row>
    <row r="12" spans="2:46">
      <c r="B12" s="3178" t="s">
        <v>3005</v>
      </c>
      <c r="C12" s="3215" t="s">
        <v>3006</v>
      </c>
      <c r="I12" s="3227" t="s">
        <v>3238</v>
      </c>
      <c r="J12" s="3221">
        <v>0</v>
      </c>
      <c r="M12" s="3388"/>
      <c r="N12" s="3224" t="s">
        <v>3275</v>
      </c>
      <c r="O12" s="3224"/>
      <c r="P12" s="3224"/>
      <c r="Q12" s="3224">
        <f>SUM(Q4:Q11)</f>
        <v>9428.1099999999988</v>
      </c>
      <c r="R12" s="3224">
        <f>SUM(R4:R11)</f>
        <v>9394.99</v>
      </c>
      <c r="S12" s="3231"/>
      <c r="T12" s="3231"/>
    </row>
    <row r="13" spans="2:46">
      <c r="B13" s="3178" t="s">
        <v>2998</v>
      </c>
      <c r="C13" s="3178" t="s">
        <v>2999</v>
      </c>
      <c r="I13" s="3227" t="s">
        <v>3239</v>
      </c>
      <c r="J13" s="3221">
        <v>0</v>
      </c>
      <c r="M13" s="3383" t="s">
        <v>3277</v>
      </c>
      <c r="N13" s="3383" t="s">
        <v>3279</v>
      </c>
      <c r="O13" s="3383" t="s">
        <v>3280</v>
      </c>
      <c r="P13" s="3219" t="s">
        <v>3277</v>
      </c>
      <c r="Q13" s="3204">
        <v>6533.6</v>
      </c>
      <c r="R13" s="3204">
        <v>0</v>
      </c>
      <c r="S13" s="3230"/>
      <c r="T13" s="3230"/>
    </row>
    <row r="14" spans="2:46">
      <c r="B14" s="3178" t="s">
        <v>3007</v>
      </c>
      <c r="C14" s="3178" t="s">
        <v>3008</v>
      </c>
      <c r="I14" s="3227" t="s">
        <v>3240</v>
      </c>
      <c r="J14" s="3221">
        <v>3.9</v>
      </c>
      <c r="M14" s="3384"/>
      <c r="N14" s="3385"/>
      <c r="O14" s="3385"/>
      <c r="P14" s="3219" t="s">
        <v>3281</v>
      </c>
      <c r="Q14" s="3204">
        <v>933.83</v>
      </c>
      <c r="R14" s="3204">
        <v>0</v>
      </c>
      <c r="S14" s="3230">
        <f>Q13+Q14</f>
        <v>7467.43</v>
      </c>
      <c r="Y14" s="3215" t="s">
        <v>3368</v>
      </c>
      <c r="Z14" s="3215" t="s">
        <v>3369</v>
      </c>
      <c r="AA14" s="3215" t="s">
        <v>3370</v>
      </c>
    </row>
    <row r="15" spans="2:46">
      <c r="B15" s="3178" t="s">
        <v>3009</v>
      </c>
      <c r="C15" s="3178">
        <v>56445.66</v>
      </c>
      <c r="I15" s="3227" t="s">
        <v>3241</v>
      </c>
      <c r="J15" s="3221">
        <v>71.760000000000005</v>
      </c>
      <c r="M15" s="3384"/>
      <c r="N15" s="3383" t="s">
        <v>3286</v>
      </c>
      <c r="O15" s="3383" t="s">
        <v>3258</v>
      </c>
      <c r="P15" s="3219" t="s">
        <v>3277</v>
      </c>
      <c r="Q15" s="3204">
        <v>8582.94</v>
      </c>
      <c r="R15" s="3204">
        <v>8582.94</v>
      </c>
      <c r="S15" s="3230">
        <f>Q15+Q18+Q20+Q22</f>
        <v>24518.280000000002</v>
      </c>
      <c r="T15" s="3178">
        <f>S4+S14+S15</f>
        <v>41208.880000000005</v>
      </c>
      <c r="V15" s="3204" t="s">
        <v>3200</v>
      </c>
      <c r="W15" s="3204" t="s">
        <v>3201</v>
      </c>
      <c r="X15" s="3204" t="s">
        <v>3202</v>
      </c>
      <c r="Y15" s="3251"/>
      <c r="Z15" s="3251">
        <f>J9-S4</f>
        <v>32157.53</v>
      </c>
      <c r="AA15" s="3251"/>
    </row>
    <row r="16" spans="2:46">
      <c r="B16" s="3178" t="s">
        <v>3010</v>
      </c>
      <c r="C16" s="3178">
        <v>197559.81</v>
      </c>
      <c r="E16" s="3178">
        <f>'数据-汇总表'!F31</f>
        <v>122667.74</v>
      </c>
      <c r="I16" s="3228" t="s">
        <v>3234</v>
      </c>
      <c r="J16" s="3228">
        <v>37712.31</v>
      </c>
      <c r="M16" s="3384"/>
      <c r="N16" s="3384"/>
      <c r="O16" s="3384"/>
      <c r="P16" s="3219" t="s">
        <v>3282</v>
      </c>
      <c r="Q16" s="3204">
        <v>703.83</v>
      </c>
      <c r="R16" s="3204">
        <v>217.5</v>
      </c>
      <c r="S16" s="3230"/>
      <c r="T16" s="3230"/>
      <c r="V16" s="3204" t="s">
        <v>3197</v>
      </c>
      <c r="W16" s="3204">
        <v>1</v>
      </c>
      <c r="X16" s="3204">
        <v>2.5</v>
      </c>
      <c r="Y16" s="3178">
        <f>Q15</f>
        <v>8582.94</v>
      </c>
      <c r="Z16" s="3178">
        <f>ROUND(Y16/$Y$21*$Z$15,2)</f>
        <v>8629.0499999999993</v>
      </c>
      <c r="AA16" s="3178">
        <f>Z16*X16</f>
        <v>21572.625</v>
      </c>
      <c r="AC16" s="3275">
        <f ca="1">AC21*Z21/(Z16+Z17*W17+Z18*W18+Z19*W19+Z20*W20)</f>
        <v>10663.009418132826</v>
      </c>
    </row>
    <row r="17" spans="2:29">
      <c r="B17" s="3178" t="s">
        <v>3011</v>
      </c>
      <c r="C17" s="3178">
        <v>3.5</v>
      </c>
      <c r="E17" s="3178">
        <f>C16-E16</f>
        <v>74892.069999999992</v>
      </c>
      <c r="I17" s="3227" t="s">
        <v>3242</v>
      </c>
      <c r="J17" s="3227">
        <v>34630.9</v>
      </c>
      <c r="M17" s="3384"/>
      <c r="N17" s="3384"/>
      <c r="O17" s="3385"/>
      <c r="P17" s="3219" t="s">
        <v>3283</v>
      </c>
      <c r="Q17" s="3204">
        <v>71.760000000000005</v>
      </c>
      <c r="R17" s="3204">
        <v>71.760000000000005</v>
      </c>
      <c r="S17" s="3236" t="s">
        <v>3366</v>
      </c>
      <c r="T17" s="3230"/>
      <c r="V17" s="3204" t="s">
        <v>3198</v>
      </c>
      <c r="W17" s="3273">
        <v>0.6</v>
      </c>
      <c r="X17" s="3204">
        <f>ROUND($X$16*W17,2)</f>
        <v>1.5</v>
      </c>
      <c r="Y17" s="3178">
        <f>Q18</f>
        <v>7164.94</v>
      </c>
      <c r="Z17" s="3178">
        <f t="shared" ref="Z17:Z19" si="0">ROUND(Y17/$Y$21*$Z$15,2)</f>
        <v>7203.43</v>
      </c>
      <c r="AA17" s="3178">
        <f t="shared" ref="AA17:AA20" si="1">Z17*X17</f>
        <v>10805.145</v>
      </c>
      <c r="AC17" s="3275">
        <f ca="1">AC16*W17</f>
        <v>6397.8056508796953</v>
      </c>
    </row>
    <row r="18" spans="2:29">
      <c r="B18" s="3178" t="s">
        <v>3012</v>
      </c>
      <c r="C18" s="3178">
        <v>187967400</v>
      </c>
      <c r="E18" s="3178">
        <f>E17/C15</f>
        <v>1.3267994386105146</v>
      </c>
      <c r="I18" s="3227" t="s">
        <v>3243</v>
      </c>
      <c r="J18" s="3221">
        <v>3081.41</v>
      </c>
      <c r="M18" s="3384"/>
      <c r="N18" s="3384"/>
      <c r="O18" s="3383" t="s">
        <v>3261</v>
      </c>
      <c r="P18" s="3219" t="s">
        <v>3277</v>
      </c>
      <c r="Q18" s="3204">
        <v>7164.94</v>
      </c>
      <c r="R18" s="3204">
        <v>7164.94</v>
      </c>
      <c r="S18" s="3236" t="s">
        <v>3367</v>
      </c>
      <c r="T18" s="3230"/>
      <c r="V18" s="3204" t="s">
        <v>3199</v>
      </c>
      <c r="W18" s="3204">
        <v>0.5</v>
      </c>
      <c r="X18" s="3204">
        <f>ROUND($X$16*W18,2)</f>
        <v>1.25</v>
      </c>
      <c r="Y18" s="3178">
        <f>Q20</f>
        <v>6600.38</v>
      </c>
      <c r="Z18" s="3178">
        <f t="shared" si="0"/>
        <v>6635.84</v>
      </c>
      <c r="AA18" s="3178">
        <f t="shared" si="1"/>
        <v>8294.7999999999993</v>
      </c>
      <c r="AC18" s="3275">
        <f ca="1">AC16*W18</f>
        <v>5331.5047090664129</v>
      </c>
    </row>
    <row r="19" spans="2:29">
      <c r="B19" s="3178" t="s">
        <v>3013</v>
      </c>
      <c r="C19" s="3178">
        <v>3330.05</v>
      </c>
      <c r="I19" s="3228" t="s">
        <v>3235</v>
      </c>
      <c r="J19" s="3228">
        <v>172.27</v>
      </c>
      <c r="M19" s="3384"/>
      <c r="N19" s="3384"/>
      <c r="O19" s="3385"/>
      <c r="P19" s="3219" t="s">
        <v>3262</v>
      </c>
      <c r="Q19" s="3204">
        <v>102.76</v>
      </c>
      <c r="R19" s="3204">
        <v>0</v>
      </c>
      <c r="S19" s="3230"/>
      <c r="T19" s="3230"/>
      <c r="V19" s="3219" t="s">
        <v>3285</v>
      </c>
      <c r="W19" s="3204">
        <f>W18</f>
        <v>0.5</v>
      </c>
      <c r="X19" s="3204">
        <f>ROUND($X$16*W19,2)</f>
        <v>1.25</v>
      </c>
      <c r="Y19" s="3178">
        <f>Q22</f>
        <v>2170.02</v>
      </c>
      <c r="Z19" s="3178">
        <f t="shared" si="0"/>
        <v>2181.6799999999998</v>
      </c>
      <c r="AA19" s="3178">
        <f t="shared" si="1"/>
        <v>2727.1</v>
      </c>
      <c r="AC19" s="3275">
        <f ca="1">AC18</f>
        <v>5331.5047090664129</v>
      </c>
    </row>
    <row r="20" spans="2:29">
      <c r="B20" s="3178" t="s">
        <v>2970</v>
      </c>
      <c r="C20" s="3178">
        <f>ROUND(C18/C16,2)</f>
        <v>951.45</v>
      </c>
      <c r="I20" s="3228" t="s">
        <v>3236</v>
      </c>
      <c r="J20" s="3228">
        <v>990.77</v>
      </c>
      <c r="M20" s="3384"/>
      <c r="N20" s="3384"/>
      <c r="O20" s="3383" t="s">
        <v>3263</v>
      </c>
      <c r="P20" s="3219" t="s">
        <v>3277</v>
      </c>
      <c r="Q20" s="3204">
        <v>6600.38</v>
      </c>
      <c r="R20" s="3204">
        <v>6600.38</v>
      </c>
      <c r="S20" s="3230"/>
      <c r="T20" s="3230"/>
      <c r="V20" s="3219" t="s">
        <v>3280</v>
      </c>
      <c r="W20" s="3204">
        <f>W18</f>
        <v>0.5</v>
      </c>
      <c r="X20" s="3204">
        <f>ROUND($X$16*W20,2)</f>
        <v>1.25</v>
      </c>
      <c r="Y20" s="3178">
        <f>Q13+Q14</f>
        <v>7467.43</v>
      </c>
      <c r="Z20" s="3178">
        <f>Z15-Z16-Z17-Z18-Z19</f>
        <v>7507.5299999999988</v>
      </c>
      <c r="AA20" s="3178">
        <f t="shared" si="1"/>
        <v>9384.4124999999985</v>
      </c>
      <c r="AC20" s="3275">
        <f ca="1">AC19</f>
        <v>5331.5047090664129</v>
      </c>
    </row>
    <row r="21" spans="2:29">
      <c r="B21" s="3178" t="s">
        <v>3113</v>
      </c>
      <c r="C21" s="3178" t="s">
        <v>3114</v>
      </c>
      <c r="I21" s="3227" t="s">
        <v>3221</v>
      </c>
      <c r="J21" s="3221"/>
      <c r="M21" s="3384"/>
      <c r="N21" s="3384"/>
      <c r="O21" s="3385"/>
      <c r="P21" s="3219" t="s">
        <v>3284</v>
      </c>
      <c r="Q21" s="3204">
        <v>521.46</v>
      </c>
      <c r="R21" s="3204">
        <v>521.46</v>
      </c>
      <c r="S21" s="3230"/>
      <c r="T21" s="3230"/>
      <c r="V21" s="3204"/>
      <c r="W21" s="3204"/>
      <c r="X21" s="3204">
        <f>ROUND((X16+X17+X18+X19+X20)/5,2)</f>
        <v>1.55</v>
      </c>
      <c r="Y21" s="3178">
        <f>SUM(Y16:Y20)</f>
        <v>31985.710000000003</v>
      </c>
      <c r="Z21" s="3178">
        <f>SUM(Z16:Z20)</f>
        <v>32157.53</v>
      </c>
      <c r="AA21" s="3178">
        <f>SUM(AA16:AA20)</f>
        <v>52784.082499999997</v>
      </c>
      <c r="AB21" s="3251">
        <f>ROUND(AA21/Z21,2)</f>
        <v>1.64</v>
      </c>
      <c r="AC21" s="3178">
        <f ca="1">'剩余法-待开发'!E8</f>
        <v>7001</v>
      </c>
    </row>
    <row r="22" spans="2:29">
      <c r="I22" s="3227" t="s">
        <v>3229</v>
      </c>
      <c r="J22" s="3221">
        <v>125200.43</v>
      </c>
      <c r="M22" s="3384"/>
      <c r="N22" s="3385"/>
      <c r="O22" s="3219" t="s">
        <v>3285</v>
      </c>
      <c r="P22" s="3219" t="s">
        <v>3277</v>
      </c>
      <c r="Q22" s="3204">
        <v>2170.02</v>
      </c>
      <c r="R22" s="3204">
        <v>2170.02</v>
      </c>
      <c r="S22" s="3230"/>
      <c r="T22" s="3230"/>
    </row>
    <row r="23" spans="2:29">
      <c r="I23" s="3227" t="s">
        <v>3230</v>
      </c>
      <c r="J23" s="3221">
        <v>42687.15</v>
      </c>
      <c r="M23" s="3385"/>
      <c r="N23" s="3225" t="s">
        <v>3275</v>
      </c>
      <c r="O23" s="3224"/>
      <c r="P23" s="3224"/>
      <c r="Q23" s="3224">
        <f>SUM(Q13:Q22)</f>
        <v>33385.519999999997</v>
      </c>
      <c r="R23" s="3224">
        <f>SUM(R13:R22)</f>
        <v>25329</v>
      </c>
      <c r="S23" s="3231"/>
      <c r="T23" s="3231"/>
    </row>
    <row r="24" spans="2:29">
      <c r="B24" s="3249" t="s">
        <v>3205</v>
      </c>
      <c r="I24" s="3227" t="s">
        <v>3226</v>
      </c>
      <c r="J24" s="3221"/>
      <c r="Q24" s="3235">
        <f>Q12+Q23</f>
        <v>42813.63</v>
      </c>
      <c r="R24" s="3235">
        <f>R12+R23</f>
        <v>34723.99</v>
      </c>
      <c r="S24" s="3235"/>
      <c r="T24" s="3226"/>
    </row>
    <row r="25" spans="2:29">
      <c r="B25" s="3205" t="s">
        <v>3206</v>
      </c>
      <c r="C25" s="3215" t="s">
        <v>3207</v>
      </c>
      <c r="I25" s="3227" t="s">
        <v>3227</v>
      </c>
      <c r="J25" s="3221">
        <v>26</v>
      </c>
      <c r="M25" s="3390" t="s">
        <v>3287</v>
      </c>
      <c r="N25" s="3393" t="s">
        <v>3286</v>
      </c>
      <c r="O25" s="3389" t="s">
        <v>3258</v>
      </c>
      <c r="P25" s="3222" t="s">
        <v>3282</v>
      </c>
      <c r="Q25" s="3221">
        <v>172.27</v>
      </c>
      <c r="R25" s="3221">
        <v>0</v>
      </c>
      <c r="S25" s="3237"/>
    </row>
    <row r="26" spans="2:29">
      <c r="B26" s="3212" t="s">
        <v>3208</v>
      </c>
      <c r="C26" s="3212" t="s">
        <v>3209</v>
      </c>
      <c r="I26" s="3227" t="s">
        <v>3228</v>
      </c>
      <c r="J26" s="3221">
        <v>866</v>
      </c>
      <c r="M26" s="3391"/>
      <c r="N26" s="3394"/>
      <c r="O26" s="3389"/>
      <c r="P26" s="3222" t="s">
        <v>3289</v>
      </c>
      <c r="Q26" s="3221">
        <v>2492.59</v>
      </c>
      <c r="R26" s="3221">
        <v>29.94</v>
      </c>
      <c r="S26" s="3237"/>
    </row>
    <row r="27" spans="2:29">
      <c r="B27" s="3212" t="s">
        <v>3210</v>
      </c>
      <c r="C27" s="3212" t="s">
        <v>3211</v>
      </c>
      <c r="I27" s="3227" t="s">
        <v>3244</v>
      </c>
      <c r="J27" s="3221"/>
      <c r="M27" s="3391"/>
      <c r="N27" s="3393" t="s">
        <v>3279</v>
      </c>
      <c r="O27" s="3393" t="s">
        <v>3280</v>
      </c>
      <c r="P27" s="3222" t="s">
        <v>3289</v>
      </c>
      <c r="Q27" s="3221">
        <v>6568.66</v>
      </c>
      <c r="R27" s="3221">
        <v>0</v>
      </c>
      <c r="S27" s="3237"/>
    </row>
    <row r="28" spans="2:29">
      <c r="B28" s="3212" t="s">
        <v>3212</v>
      </c>
      <c r="C28" s="3212" t="s">
        <v>3213</v>
      </c>
      <c r="I28" s="3227" t="s">
        <v>3245</v>
      </c>
      <c r="J28" s="3221">
        <v>121115.77</v>
      </c>
      <c r="M28" s="3391"/>
      <c r="N28" s="3395"/>
      <c r="O28" s="3394"/>
      <c r="P28" s="3222" t="s">
        <v>3282</v>
      </c>
      <c r="Q28" s="3221">
        <v>322.16000000000003</v>
      </c>
      <c r="R28" s="3221">
        <v>0</v>
      </c>
      <c r="S28" s="3237"/>
    </row>
    <row r="29" spans="2:29">
      <c r="B29" s="3212" t="s">
        <v>3214</v>
      </c>
      <c r="C29" s="3215" t="s">
        <v>3215</v>
      </c>
      <c r="I29" s="3227" t="s">
        <v>3246</v>
      </c>
      <c r="J29" s="3221">
        <v>86361.86</v>
      </c>
      <c r="M29" s="3391"/>
      <c r="N29" s="3395"/>
      <c r="O29" s="3393" t="s">
        <v>3290</v>
      </c>
      <c r="P29" s="3222" t="s">
        <v>3289</v>
      </c>
      <c r="Q29" s="3221">
        <v>13184.32</v>
      </c>
      <c r="R29" s="3221">
        <v>0</v>
      </c>
      <c r="S29" s="3237"/>
    </row>
    <row r="30" spans="2:29">
      <c r="I30" s="3227" t="s">
        <v>3247</v>
      </c>
      <c r="J30" s="3229">
        <v>0.4047</v>
      </c>
      <c r="M30" s="3391"/>
      <c r="N30" s="3395"/>
      <c r="O30" s="3394"/>
      <c r="P30" s="3222" t="s">
        <v>3282</v>
      </c>
      <c r="Q30" s="3221">
        <v>1606.03</v>
      </c>
      <c r="R30" s="3221">
        <v>0</v>
      </c>
      <c r="S30" s="3237"/>
    </row>
    <row r="31" spans="2:29">
      <c r="I31" s="3227" t="s">
        <v>3248</v>
      </c>
      <c r="J31" s="3221">
        <v>9034.02</v>
      </c>
      <c r="M31" s="3391"/>
      <c r="N31" s="3395"/>
      <c r="O31" s="3393" t="s">
        <v>3291</v>
      </c>
      <c r="P31" s="3222" t="s">
        <v>3289</v>
      </c>
      <c r="Q31" s="3221">
        <v>12385.33</v>
      </c>
      <c r="R31" s="3221">
        <v>0</v>
      </c>
      <c r="S31" s="3237"/>
    </row>
    <row r="32" spans="2:29">
      <c r="I32" s="3227" t="s">
        <v>3249</v>
      </c>
      <c r="J32" s="3229">
        <v>0.21510000000000001</v>
      </c>
      <c r="M32" s="3391"/>
      <c r="N32" s="3395"/>
      <c r="O32" s="3395"/>
      <c r="P32" s="3220" t="s">
        <v>3282</v>
      </c>
      <c r="Q32" s="3233">
        <v>1153.22</v>
      </c>
      <c r="R32" s="3233">
        <v>0</v>
      </c>
      <c r="S32" s="3237"/>
    </row>
    <row r="33" spans="9:20">
      <c r="I33" s="3227" t="s">
        <v>3250</v>
      </c>
      <c r="J33" s="3221">
        <v>4802.1099999999997</v>
      </c>
      <c r="M33" s="3392"/>
      <c r="N33" s="3228" t="s">
        <v>3275</v>
      </c>
      <c r="O33" s="3228"/>
      <c r="P33" s="3228"/>
      <c r="Q33" s="3228">
        <f>SUM(Q25:Q32)</f>
        <v>37884.58</v>
      </c>
      <c r="R33" s="3228">
        <f>SUM(R25:R32)</f>
        <v>29.94</v>
      </c>
      <c r="S33" s="3238"/>
    </row>
    <row r="34" spans="9:20">
      <c r="M34" s="3386" t="s">
        <v>3252</v>
      </c>
      <c r="N34" s="3382" t="s">
        <v>3257</v>
      </c>
      <c r="O34" s="3223" t="s">
        <v>3258</v>
      </c>
      <c r="P34" s="3223" t="s">
        <v>3292</v>
      </c>
      <c r="Q34" s="3232">
        <v>104.2</v>
      </c>
      <c r="R34" s="3232">
        <v>104.2</v>
      </c>
      <c r="S34" s="3239"/>
      <c r="T34" s="3215"/>
    </row>
    <row r="35" spans="9:20">
      <c r="M35" s="3387"/>
      <c r="N35" s="3382"/>
      <c r="O35" s="3382" t="s">
        <v>3261</v>
      </c>
      <c r="P35" s="3223" t="s">
        <v>3292</v>
      </c>
      <c r="Q35" s="3232">
        <v>465.7</v>
      </c>
      <c r="R35" s="3232">
        <v>465.7</v>
      </c>
      <c r="S35" s="3239"/>
      <c r="T35" s="3178">
        <f>Q36+Q45+Q46</f>
        <v>758.74</v>
      </c>
    </row>
    <row r="36" spans="9:20">
      <c r="M36" s="3387"/>
      <c r="N36" s="3382"/>
      <c r="O36" s="3382"/>
      <c r="P36" s="3223" t="s">
        <v>3262</v>
      </c>
      <c r="Q36" s="3232">
        <v>515.28</v>
      </c>
      <c r="R36" s="3232">
        <v>0</v>
      </c>
      <c r="S36" s="3239"/>
      <c r="T36" s="3177">
        <f>Q47-T35</f>
        <v>42971.160000000011</v>
      </c>
    </row>
    <row r="37" spans="9:20">
      <c r="M37" s="3387"/>
      <c r="N37" s="3383" t="s">
        <v>3264</v>
      </c>
      <c r="O37" s="3223" t="s">
        <v>3263</v>
      </c>
      <c r="P37" s="3223" t="s">
        <v>3292</v>
      </c>
      <c r="Q37" s="3232">
        <v>95.69</v>
      </c>
      <c r="R37" s="3232">
        <v>95.69</v>
      </c>
      <c r="S37" s="3239"/>
    </row>
    <row r="38" spans="9:20">
      <c r="I38" s="3218" t="s">
        <v>3251</v>
      </c>
      <c r="J38" s="3216">
        <v>9428.11</v>
      </c>
      <c r="M38" s="3387"/>
      <c r="N38" s="3384"/>
      <c r="O38" s="3223" t="s">
        <v>3285</v>
      </c>
      <c r="P38" s="3223" t="s">
        <v>3292</v>
      </c>
      <c r="Q38" s="3232">
        <v>741.59</v>
      </c>
      <c r="R38" s="3232">
        <v>741.97</v>
      </c>
      <c r="S38" s="3239"/>
    </row>
    <row r="39" spans="9:20">
      <c r="I39" s="3218" t="s">
        <v>3252</v>
      </c>
      <c r="J39" s="3216">
        <v>43729.9</v>
      </c>
      <c r="M39" s="3387"/>
      <c r="N39" s="3384"/>
      <c r="O39" s="3223" t="s">
        <v>3293</v>
      </c>
      <c r="P39" s="3223" t="s">
        <v>3292</v>
      </c>
      <c r="Q39" s="3232">
        <v>12110.12</v>
      </c>
      <c r="R39" s="3232">
        <v>12114.3</v>
      </c>
      <c r="S39" s="3239"/>
    </row>
    <row r="40" spans="9:20">
      <c r="I40" s="3218" t="s">
        <v>3253</v>
      </c>
      <c r="J40" s="3216">
        <v>43455.57</v>
      </c>
      <c r="M40" s="3387"/>
      <c r="N40" s="3384"/>
      <c r="O40" s="3223" t="s">
        <v>3266</v>
      </c>
      <c r="P40" s="3223" t="s">
        <v>3292</v>
      </c>
      <c r="Q40" s="3232">
        <v>1128.33</v>
      </c>
      <c r="R40" s="3232">
        <v>1128.33</v>
      </c>
      <c r="S40" s="3239"/>
    </row>
    <row r="41" spans="9:20">
      <c r="I41" s="3218" t="s">
        <v>3254</v>
      </c>
      <c r="J41" s="3216">
        <v>33385.519999999997</v>
      </c>
      <c r="M41" s="3387"/>
      <c r="N41" s="3384"/>
      <c r="O41" s="3223" t="s">
        <v>3294</v>
      </c>
      <c r="P41" s="3223" t="s">
        <v>3292</v>
      </c>
      <c r="Q41" s="3232">
        <v>15412.88</v>
      </c>
      <c r="R41" s="3232">
        <v>15418.2</v>
      </c>
      <c r="S41" s="3239"/>
    </row>
    <row r="42" spans="9:20">
      <c r="I42" s="3218" t="s">
        <v>3219</v>
      </c>
      <c r="J42" s="3218">
        <v>3.9</v>
      </c>
      <c r="M42" s="3387"/>
      <c r="N42" s="3384"/>
      <c r="O42" s="3223" t="s">
        <v>3295</v>
      </c>
      <c r="P42" s="3223" t="s">
        <v>3292</v>
      </c>
      <c r="Q42" s="3232">
        <v>1128.33</v>
      </c>
      <c r="R42" s="3232">
        <v>1128.33</v>
      </c>
      <c r="S42" s="3239"/>
    </row>
    <row r="43" spans="9:20">
      <c r="I43" s="3218" t="s">
        <v>3220</v>
      </c>
      <c r="J43" s="3216">
        <v>37884.58</v>
      </c>
      <c r="M43" s="3387"/>
      <c r="N43" s="3384"/>
      <c r="O43" s="3223" t="s">
        <v>3296</v>
      </c>
      <c r="P43" s="3223" t="s">
        <v>3292</v>
      </c>
      <c r="Q43" s="3232">
        <v>11009.2</v>
      </c>
      <c r="R43" s="3232">
        <v>11013</v>
      </c>
      <c r="S43" s="3239"/>
    </row>
    <row r="44" spans="9:20">
      <c r="I44" s="3234" t="s">
        <v>3275</v>
      </c>
      <c r="J44" s="3234">
        <f>SUM(J38:J43)</f>
        <v>167887.58000000002</v>
      </c>
      <c r="M44" s="3387"/>
      <c r="N44" s="3384"/>
      <c r="O44" s="3223" t="s">
        <v>3297</v>
      </c>
      <c r="P44" s="3223" t="s">
        <v>3292</v>
      </c>
      <c r="Q44" s="3232">
        <v>775.12</v>
      </c>
      <c r="R44" s="3232">
        <v>775.12</v>
      </c>
      <c r="S44" s="3239"/>
    </row>
    <row r="45" spans="9:20">
      <c r="M45" s="3387"/>
      <c r="N45" s="3384"/>
      <c r="O45" s="3223" t="s">
        <v>3267</v>
      </c>
      <c r="P45" s="3219" t="s">
        <v>3268</v>
      </c>
      <c r="Q45" s="3232">
        <v>143.65</v>
      </c>
      <c r="R45" s="3232">
        <v>143.65</v>
      </c>
      <c r="S45" s="3239"/>
    </row>
    <row r="46" spans="9:20">
      <c r="M46" s="3387"/>
      <c r="N46" s="3385"/>
      <c r="O46" s="3223" t="s">
        <v>3270</v>
      </c>
      <c r="P46" s="3219" t="s">
        <v>3271</v>
      </c>
      <c r="Q46" s="3232">
        <v>99.81</v>
      </c>
      <c r="R46" s="3232">
        <v>99.81</v>
      </c>
      <c r="S46" s="3239"/>
    </row>
    <row r="47" spans="9:20">
      <c r="M47" s="3388"/>
      <c r="N47" s="3225" t="s">
        <v>3275</v>
      </c>
      <c r="O47" s="3225"/>
      <c r="P47" s="3225"/>
      <c r="Q47" s="3225">
        <f>SUM(Q34:Q46)</f>
        <v>43729.900000000009</v>
      </c>
      <c r="R47" s="3225">
        <f>SUM(R34:R46)</f>
        <v>43228.3</v>
      </c>
      <c r="S47" s="3240"/>
    </row>
    <row r="48" spans="9:20">
      <c r="M48" s="3379" t="s">
        <v>3253</v>
      </c>
      <c r="N48" s="3382" t="s">
        <v>3257</v>
      </c>
      <c r="O48" s="3382" t="s">
        <v>3261</v>
      </c>
      <c r="P48" s="3223" t="s">
        <v>3292</v>
      </c>
      <c r="Q48" s="3204">
        <v>488.02</v>
      </c>
      <c r="R48" s="3204">
        <v>488.02</v>
      </c>
      <c r="S48" s="3230"/>
    </row>
    <row r="49" spans="13:20">
      <c r="M49" s="3380"/>
      <c r="N49" s="3382"/>
      <c r="O49" s="3382"/>
      <c r="P49" s="3223" t="s">
        <v>3262</v>
      </c>
      <c r="Q49" s="3204">
        <v>339.61</v>
      </c>
      <c r="R49" s="3204">
        <v>0</v>
      </c>
      <c r="S49" s="3230"/>
      <c r="T49" s="3178">
        <f>Q49+Q58+Q59</f>
        <v>566.41999999999996</v>
      </c>
    </row>
    <row r="50" spans="13:20">
      <c r="M50" s="3380"/>
      <c r="N50" s="3382"/>
      <c r="O50" s="3217" t="s">
        <v>3263</v>
      </c>
      <c r="P50" s="3223" t="s">
        <v>3292</v>
      </c>
      <c r="Q50" s="3232">
        <v>95.56</v>
      </c>
      <c r="R50" s="3232">
        <v>95.56</v>
      </c>
      <c r="S50" s="3239"/>
      <c r="T50" s="3177">
        <f>Q60-T49</f>
        <v>42889.150000000009</v>
      </c>
    </row>
    <row r="51" spans="13:20">
      <c r="M51" s="3380"/>
      <c r="N51" s="3377" t="s">
        <v>3264</v>
      </c>
      <c r="O51" s="3217" t="s">
        <v>3285</v>
      </c>
      <c r="P51" s="3223" t="s">
        <v>3292</v>
      </c>
      <c r="Q51" s="3232">
        <v>741.59</v>
      </c>
      <c r="R51" s="3232">
        <v>741.97</v>
      </c>
      <c r="S51" s="3239"/>
    </row>
    <row r="52" spans="13:20">
      <c r="M52" s="3380"/>
      <c r="N52" s="3378"/>
      <c r="O52" s="3223" t="s">
        <v>3293</v>
      </c>
      <c r="P52" s="3223" t="s">
        <v>3292</v>
      </c>
      <c r="Q52" s="3232">
        <v>12110.12</v>
      </c>
      <c r="R52" s="3232">
        <v>12114.3</v>
      </c>
      <c r="S52" s="3239"/>
    </row>
    <row r="53" spans="13:20">
      <c r="M53" s="3380"/>
      <c r="N53" s="3378"/>
      <c r="O53" s="3223" t="s">
        <v>3266</v>
      </c>
      <c r="P53" s="3223" t="s">
        <v>3292</v>
      </c>
      <c r="Q53" s="3232">
        <v>1128.33</v>
      </c>
      <c r="R53" s="3232">
        <v>1128.33</v>
      </c>
      <c r="S53" s="3239"/>
    </row>
    <row r="54" spans="13:20">
      <c r="M54" s="3380"/>
      <c r="N54" s="3378"/>
      <c r="O54" s="3223" t="s">
        <v>3294</v>
      </c>
      <c r="P54" s="3223" t="s">
        <v>3292</v>
      </c>
      <c r="Q54" s="3232">
        <v>15412.88</v>
      </c>
      <c r="R54" s="3232">
        <v>15418.2</v>
      </c>
      <c r="S54" s="3239"/>
    </row>
    <row r="55" spans="13:20">
      <c r="M55" s="3380"/>
      <c r="N55" s="3378"/>
      <c r="O55" s="3223" t="s">
        <v>3295</v>
      </c>
      <c r="P55" s="3223" t="s">
        <v>3292</v>
      </c>
      <c r="Q55" s="3232">
        <v>1128.33</v>
      </c>
      <c r="R55" s="3232">
        <v>1128.33</v>
      </c>
      <c r="S55" s="3239"/>
    </row>
    <row r="56" spans="13:20">
      <c r="M56" s="3380"/>
      <c r="N56" s="3378"/>
      <c r="O56" s="3223" t="s">
        <v>3296</v>
      </c>
      <c r="P56" s="3223" t="s">
        <v>3292</v>
      </c>
      <c r="Q56" s="3232">
        <v>11009.2</v>
      </c>
      <c r="R56" s="3232">
        <v>11013</v>
      </c>
      <c r="S56" s="3239"/>
    </row>
    <row r="57" spans="13:20">
      <c r="M57" s="3380"/>
      <c r="N57" s="3378"/>
      <c r="O57" s="3223" t="s">
        <v>3297</v>
      </c>
      <c r="P57" s="3223" t="s">
        <v>3292</v>
      </c>
      <c r="Q57" s="3232">
        <v>775.12</v>
      </c>
      <c r="R57" s="3232">
        <v>775.12</v>
      </c>
      <c r="S57" s="3239"/>
    </row>
    <row r="58" spans="13:20">
      <c r="M58" s="3380"/>
      <c r="N58" s="3378"/>
      <c r="O58" s="3223" t="s">
        <v>3267</v>
      </c>
      <c r="P58" s="3219" t="s">
        <v>3268</v>
      </c>
      <c r="Q58" s="3232">
        <v>143.65</v>
      </c>
      <c r="R58" s="3232">
        <v>143.65</v>
      </c>
      <c r="S58" s="3239"/>
    </row>
    <row r="59" spans="13:20">
      <c r="M59" s="3380"/>
      <c r="N59" s="3378"/>
      <c r="O59" s="3223" t="s">
        <v>3270</v>
      </c>
      <c r="P59" s="3219" t="s">
        <v>3271</v>
      </c>
      <c r="Q59" s="3232">
        <v>83.16</v>
      </c>
      <c r="R59" s="3232">
        <v>83.16</v>
      </c>
      <c r="S59" s="3239"/>
    </row>
    <row r="60" spans="13:20">
      <c r="M60" s="3381"/>
      <c r="N60" s="3234" t="s">
        <v>3275</v>
      </c>
      <c r="O60" s="3234"/>
      <c r="P60" s="3234"/>
      <c r="Q60" s="3224">
        <f>SUM(Q48:Q59)</f>
        <v>43455.570000000007</v>
      </c>
      <c r="R60" s="3224">
        <f>SUM(R48:R59)</f>
        <v>43129.640000000007</v>
      </c>
      <c r="S60" s="3231"/>
    </row>
    <row r="61" spans="13:20">
      <c r="Q61" s="3214">
        <f>Q47+Q60</f>
        <v>87185.470000000016</v>
      </c>
    </row>
    <row r="71" spans="13:19" ht="15" thickBot="1"/>
    <row r="72" spans="13:19" ht="15" thickBot="1">
      <c r="M72" s="3364" t="s">
        <v>3371</v>
      </c>
      <c r="N72" s="3366" t="s">
        <v>3372</v>
      </c>
      <c r="O72" s="3366" t="s">
        <v>3373</v>
      </c>
      <c r="P72" s="3368" t="s">
        <v>3374</v>
      </c>
      <c r="Q72" s="3369"/>
      <c r="R72" s="3370"/>
    </row>
    <row r="73" spans="13:19" ht="15" thickBot="1">
      <c r="M73" s="3365"/>
      <c r="N73" s="3367"/>
      <c r="O73" s="3367"/>
      <c r="P73" s="3257" t="s">
        <v>24</v>
      </c>
      <c r="Q73" s="3257" t="s">
        <v>3133</v>
      </c>
      <c r="R73" s="3257" t="s">
        <v>3278</v>
      </c>
    </row>
    <row r="74" spans="13:19" ht="15" thickBot="1">
      <c r="M74" s="3371" t="s">
        <v>3375</v>
      </c>
      <c r="N74" s="3257" t="s">
        <v>923</v>
      </c>
      <c r="O74" s="3374">
        <v>22322.400000000001</v>
      </c>
      <c r="P74" s="3258">
        <v>87034.41</v>
      </c>
      <c r="Q74" s="3258">
        <v>87034.41</v>
      </c>
      <c r="R74" s="3258">
        <v>0</v>
      </c>
    </row>
    <row r="75" spans="13:19" ht="15" thickBot="1">
      <c r="M75" s="3372"/>
      <c r="N75" s="3257" t="s">
        <v>3157</v>
      </c>
      <c r="O75" s="3375"/>
      <c r="P75" s="3258">
        <v>9223.17</v>
      </c>
      <c r="Q75" s="3258">
        <v>9223.17</v>
      </c>
      <c r="R75" s="3258">
        <v>0</v>
      </c>
    </row>
    <row r="76" spans="13:19" ht="15" thickBot="1">
      <c r="M76" s="3372"/>
      <c r="N76" s="3257" t="s">
        <v>3132</v>
      </c>
      <c r="O76" s="3375"/>
      <c r="P76" s="3258">
        <v>32157.53</v>
      </c>
      <c r="Q76" s="3258">
        <v>24650</v>
      </c>
      <c r="R76" s="3258">
        <v>7507.53</v>
      </c>
      <c r="S76" s="3178">
        <f>R76+R77</f>
        <v>42138.43</v>
      </c>
    </row>
    <row r="77" spans="13:19" ht="15" thickBot="1">
      <c r="M77" s="3372"/>
      <c r="N77" s="3257" t="s">
        <v>35</v>
      </c>
      <c r="O77" s="3375"/>
      <c r="P77" s="3258">
        <v>34630.9</v>
      </c>
      <c r="Q77" s="3258">
        <v>0</v>
      </c>
      <c r="R77" s="3258">
        <v>34630.9</v>
      </c>
    </row>
    <row r="78" spans="13:19" ht="15" thickBot="1">
      <c r="M78" s="3372"/>
      <c r="N78" s="3257"/>
      <c r="O78" s="3375"/>
      <c r="P78" s="3259">
        <f>SUM(P74:P77)</f>
        <v>163046.01</v>
      </c>
      <c r="Q78" s="3259">
        <f>SUM(Q74:Q77)</f>
        <v>120907.58</v>
      </c>
      <c r="R78" s="3259">
        <f>SUM(R74:R77)</f>
        <v>42138.43</v>
      </c>
    </row>
    <row r="79" spans="13:19" ht="15" thickBot="1">
      <c r="M79" s="3372"/>
      <c r="N79" s="3257" t="s">
        <v>3376</v>
      </c>
      <c r="O79" s="3375"/>
      <c r="P79" s="3258">
        <v>597.12</v>
      </c>
      <c r="Q79" s="3258">
        <v>597.12</v>
      </c>
      <c r="R79" s="3258">
        <v>0</v>
      </c>
    </row>
    <row r="80" spans="13:19" ht="15" thickBot="1">
      <c r="M80" s="3373"/>
      <c r="N80" s="3257" t="s">
        <v>2311</v>
      </c>
      <c r="O80" s="3376"/>
      <c r="P80" s="3258">
        <v>4244.45</v>
      </c>
      <c r="Q80" s="3258">
        <v>1163.04</v>
      </c>
      <c r="R80" s="3258">
        <v>3081.41</v>
      </c>
    </row>
    <row r="81" spans="13:18" ht="15" thickBot="1">
      <c r="M81" s="3260"/>
      <c r="N81" s="3257"/>
      <c r="O81" s="3258"/>
      <c r="P81" s="3259">
        <f>P79+P80</f>
        <v>4841.57</v>
      </c>
      <c r="Q81" s="3259">
        <f>Q79+Q80</f>
        <v>1760.1599999999999</v>
      </c>
      <c r="R81" s="3259">
        <f>R79+R80</f>
        <v>3081.41</v>
      </c>
    </row>
    <row r="82" spans="13:18" ht="15" thickBot="1">
      <c r="M82" s="3362" t="s">
        <v>24</v>
      </c>
      <c r="N82" s="3363"/>
      <c r="O82" s="3259">
        <v>22322.400000000001</v>
      </c>
      <c r="P82" s="3259">
        <v>167887.58</v>
      </c>
      <c r="Q82" s="3259">
        <v>122667.74</v>
      </c>
      <c r="R82" s="3259">
        <v>45219.839999999997</v>
      </c>
    </row>
  </sheetData>
  <mergeCells count="35">
    <mergeCell ref="AP4:AR4"/>
    <mergeCell ref="AK9:AS9"/>
    <mergeCell ref="O5:O6"/>
    <mergeCell ref="N8:N11"/>
    <mergeCell ref="N4:N7"/>
    <mergeCell ref="M4:M12"/>
    <mergeCell ref="O25:O26"/>
    <mergeCell ref="M25:M33"/>
    <mergeCell ref="N25:N26"/>
    <mergeCell ref="O27:O28"/>
    <mergeCell ref="O29:O30"/>
    <mergeCell ref="O31:O32"/>
    <mergeCell ref="N27:N32"/>
    <mergeCell ref="M13:M23"/>
    <mergeCell ref="N13:N14"/>
    <mergeCell ref="O13:O14"/>
    <mergeCell ref="O15:O17"/>
    <mergeCell ref="O18:O19"/>
    <mergeCell ref="O20:O21"/>
    <mergeCell ref="N15:N22"/>
    <mergeCell ref="N51:N59"/>
    <mergeCell ref="M48:M60"/>
    <mergeCell ref="N34:N36"/>
    <mergeCell ref="O35:O36"/>
    <mergeCell ref="N37:N46"/>
    <mergeCell ref="M34:M47"/>
    <mergeCell ref="O48:O49"/>
    <mergeCell ref="N48:N50"/>
    <mergeCell ref="M82:N82"/>
    <mergeCell ref="M72:M73"/>
    <mergeCell ref="N72:N73"/>
    <mergeCell ref="O72:O73"/>
    <mergeCell ref="P72:R72"/>
    <mergeCell ref="M74:M80"/>
    <mergeCell ref="O74:O80"/>
  </mergeCells>
  <phoneticPr fontId="233" type="noConversion"/>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A7" zoomScale="90" zoomScaleNormal="90" zoomScaleSheetLayoutView="90" workbookViewId="0">
      <selection activeCell="L29" sqref="L29"/>
    </sheetView>
  </sheetViews>
  <sheetFormatPr defaultColWidth="9.21875" defaultRowHeight="13.8"/>
  <cols>
    <col min="1" max="1" width="8.21875" style="1967" customWidth="1"/>
    <col min="2" max="2" width="10.21875" style="1967" customWidth="1"/>
    <col min="3" max="3" width="18.44140625" style="1967" customWidth="1"/>
    <col min="4" max="4" width="11.109375" style="1967" customWidth="1"/>
    <col min="5" max="5" width="13.33203125" style="1967" customWidth="1"/>
    <col min="6" max="8" width="11.44140625" style="1967" customWidth="1"/>
    <col min="9" max="9" width="10.33203125" style="1967" customWidth="1"/>
    <col min="10" max="10" width="3.109375" style="1967" customWidth="1"/>
    <col min="11" max="16" width="11.6640625" style="1967" customWidth="1"/>
    <col min="17" max="17" width="3.33203125" style="1967" customWidth="1"/>
    <col min="18" max="16384" width="9.21875" style="1967"/>
  </cols>
  <sheetData>
    <row r="1" spans="1:16" ht="17.399999999999999">
      <c r="A1" s="104" t="s">
        <v>202</v>
      </c>
      <c r="B1" s="1966"/>
      <c r="C1" s="1966"/>
      <c r="D1" s="1966"/>
      <c r="E1" s="1966"/>
      <c r="F1" s="1966"/>
      <c r="G1" s="1966"/>
      <c r="H1" s="1966"/>
      <c r="I1" s="1966"/>
      <c r="J1" s="1966"/>
      <c r="K1" s="1966"/>
      <c r="L1" s="1966"/>
    </row>
    <row r="2" spans="1:16" ht="14.4">
      <c r="A2" s="3409" t="s">
        <v>203</v>
      </c>
      <c r="B2" s="3409"/>
      <c r="C2" s="3409"/>
      <c r="D2" s="1957" t="s">
        <v>204</v>
      </c>
      <c r="E2" s="106" t="s">
        <v>205</v>
      </c>
      <c r="F2" s="1966"/>
      <c r="G2" s="1194"/>
      <c r="H2" s="1195"/>
      <c r="I2" s="1196" t="s">
        <v>857</v>
      </c>
      <c r="J2" s="1966"/>
      <c r="K2" s="1966"/>
      <c r="L2" s="1966"/>
    </row>
    <row r="3" spans="1:16" ht="15" thickBot="1">
      <c r="A3" s="3410" t="s">
        <v>206</v>
      </c>
      <c r="B3" s="3410"/>
      <c r="C3" s="3410"/>
      <c r="D3" s="107">
        <f>'数据-基础表'!AY6</f>
        <v>22322.400000000001</v>
      </c>
      <c r="E3" s="107">
        <f>'数据-基础表'!AZ5</f>
        <v>167887.58000000002</v>
      </c>
      <c r="F3" s="1966"/>
      <c r="G3" s="280" t="s">
        <v>858</v>
      </c>
      <c r="H3" s="275" t="s">
        <v>859</v>
      </c>
      <c r="I3" s="1958">
        <f>ROUND('数据-基础表'!B3/'数据-基础表'!A3,2)</f>
        <v>7.52</v>
      </c>
      <c r="J3" s="1966"/>
      <c r="K3" s="1966"/>
      <c r="L3" s="1966"/>
    </row>
    <row r="4" spans="1:16" ht="14.4">
      <c r="A4" s="3411"/>
      <c r="B4" s="3412"/>
      <c r="C4" s="3413"/>
      <c r="D4" s="108" t="s">
        <v>204</v>
      </c>
      <c r="E4" s="109" t="s">
        <v>205</v>
      </c>
      <c r="F4" s="1966"/>
      <c r="G4" s="1197"/>
      <c r="H4" s="275" t="s">
        <v>860</v>
      </c>
      <c r="I4" s="1958">
        <f>ROUND(SUMIF('数据-基础表'!I9:AS9,"地上",'数据-基础表'!I5:AS5)/'数据-基础表'!A3,2)</f>
        <v>5.5</v>
      </c>
      <c r="J4" s="1966"/>
      <c r="K4" s="1966"/>
      <c r="L4" s="1966"/>
    </row>
    <row r="5" spans="1:16" ht="14.4">
      <c r="A5" s="110" t="s">
        <v>207</v>
      </c>
      <c r="B5" s="3414" t="s">
        <v>230</v>
      </c>
      <c r="C5" s="3414"/>
      <c r="D5" s="111">
        <f>ROUND($D$3*E5/$E$3,2)</f>
        <v>11572.13</v>
      </c>
      <c r="E5" s="112">
        <f>SUMIF('数据-基础表'!$11:$11,"住宅",'数据-基础表'!$5:$5)</f>
        <v>87034.41</v>
      </c>
      <c r="F5" s="1966"/>
      <c r="G5" s="280" t="s">
        <v>861</v>
      </c>
      <c r="H5" s="275" t="s">
        <v>859</v>
      </c>
      <c r="I5" s="1958">
        <f>ROUND(E31/D31,2)</f>
        <v>7.52</v>
      </c>
      <c r="J5" s="1966"/>
      <c r="K5" s="1966"/>
      <c r="L5" s="1966"/>
    </row>
    <row r="6" spans="1:16" ht="15" thickBot="1">
      <c r="A6" s="113"/>
      <c r="B6" s="3414" t="s">
        <v>208</v>
      </c>
      <c r="C6" s="3414"/>
      <c r="D6" s="111">
        <f>ROUND($D$3*E6/$E$3,2)</f>
        <v>10750.27</v>
      </c>
      <c r="E6" s="112">
        <f>E3-E5</f>
        <v>80853.170000000013</v>
      </c>
      <c r="F6" s="1966"/>
      <c r="G6" s="1197"/>
      <c r="H6" s="275" t="s">
        <v>860</v>
      </c>
      <c r="I6" s="1958">
        <f>ROUND(F31/D31,2)</f>
        <v>5.5</v>
      </c>
      <c r="J6" s="1966"/>
      <c r="K6" s="1966"/>
      <c r="L6" s="1966"/>
    </row>
    <row r="7" spans="1:16" ht="14.4">
      <c r="A7" s="3406"/>
      <c r="B7" s="3407"/>
      <c r="C7" s="3408"/>
      <c r="D7" s="108" t="s">
        <v>204</v>
      </c>
      <c r="E7" s="114" t="s">
        <v>231</v>
      </c>
      <c r="F7" s="1966"/>
      <c r="G7" s="1152" t="s">
        <v>1645</v>
      </c>
      <c r="H7" s="1153"/>
      <c r="I7" s="1828">
        <v>3.5</v>
      </c>
      <c r="J7" s="1966"/>
      <c r="K7" s="1966"/>
      <c r="L7" s="1966"/>
    </row>
    <row r="8" spans="1:16" ht="14.4">
      <c r="A8" s="110" t="s">
        <v>209</v>
      </c>
      <c r="B8" s="115" t="s">
        <v>210</v>
      </c>
      <c r="C8" s="111" t="s">
        <v>211</v>
      </c>
      <c r="D8" s="111">
        <f t="shared" ref="D8:D15" si="0">ROUND($D$3*E8/$E$3,2)</f>
        <v>16075.92</v>
      </c>
      <c r="E8" s="116">
        <f>SUMIF('数据-基础表'!BB10:BK10,"地上",'数据-基础表'!BB5:BK5)</f>
        <v>120907.58</v>
      </c>
      <c r="F8" s="1966"/>
      <c r="G8" s="1968"/>
      <c r="H8" s="1968"/>
      <c r="I8" s="1966"/>
      <c r="J8" s="1966"/>
      <c r="K8" s="1966"/>
      <c r="L8" s="1966"/>
    </row>
    <row r="9" spans="1:16" ht="14.4">
      <c r="A9" s="117"/>
      <c r="B9" s="118"/>
      <c r="C9" s="111" t="s">
        <v>212</v>
      </c>
      <c r="D9" s="111">
        <f t="shared" si="0"/>
        <v>0</v>
      </c>
      <c r="E9" s="119">
        <v>0</v>
      </c>
      <c r="F9" s="1966"/>
      <c r="G9" s="1968"/>
      <c r="H9" s="1968"/>
      <c r="I9" s="1966"/>
      <c r="J9" s="1966"/>
      <c r="K9" s="1966"/>
      <c r="L9" s="1966"/>
    </row>
    <row r="10" spans="1:16" ht="14.4">
      <c r="A10" s="117"/>
      <c r="B10" s="118"/>
      <c r="C10" s="111" t="s">
        <v>213</v>
      </c>
      <c r="D10" s="111">
        <f t="shared" si="0"/>
        <v>998.2</v>
      </c>
      <c r="E10" s="116">
        <f>SUMPRODUCT(('数据-基础表'!BB10:BK10="地下")*('数据-基础表'!BB11:BK11="商业")*('数据-基础表'!BB5:BK5))</f>
        <v>7507.5299999999988</v>
      </c>
      <c r="F10" s="1966"/>
      <c r="G10" s="1968"/>
      <c r="H10" s="1968"/>
      <c r="I10" s="1966"/>
      <c r="J10" s="1966"/>
      <c r="K10" s="1966"/>
      <c r="L10" s="1966"/>
    </row>
    <row r="11" spans="1:16" ht="14.4">
      <c r="A11" s="117"/>
      <c r="B11" s="118"/>
      <c r="C11" s="2313" t="s">
        <v>2324</v>
      </c>
      <c r="D11" s="111">
        <f t="shared" si="0"/>
        <v>0</v>
      </c>
      <c r="E11" s="116">
        <f>SUMPRODUCT(('数据-基础表'!BB10:BK10="地下")*('数据-基础表'!BB11:BK11="办公")*('数据-基础表'!BB5:BK5))+'数据-基础表'!AJ5</f>
        <v>0</v>
      </c>
      <c r="F11" s="1966"/>
      <c r="G11" s="1968"/>
      <c r="H11" s="1968"/>
      <c r="I11" s="1966"/>
      <c r="J11" s="1966"/>
      <c r="K11" s="1966"/>
      <c r="L11" s="1966"/>
    </row>
    <row r="12" spans="1:16" ht="14.4">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ht="14.4">
      <c r="A13" s="117"/>
      <c r="B13" s="118"/>
      <c r="C13" s="2313" t="s">
        <v>2331</v>
      </c>
      <c r="D13" s="111">
        <f t="shared" si="0"/>
        <v>4604.54</v>
      </c>
      <c r="E13" s="116">
        <f>SUMPRODUCT(('数据-基础表'!BB10:BK10="地下")*('数据-基础表'!BB11:BK11="车库")*('数据-基础表'!BB5:BK5))</f>
        <v>34630.9</v>
      </c>
      <c r="F13" s="1966"/>
      <c r="G13" s="1968"/>
      <c r="H13" s="1968"/>
      <c r="I13" s="1966"/>
      <c r="J13" s="1966"/>
      <c r="K13" s="1966"/>
      <c r="L13" s="1966"/>
    </row>
    <row r="14" spans="1:16" ht="14.4">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 thickBot="1">
      <c r="A16" s="113"/>
      <c r="B16" s="118"/>
      <c r="C16" s="115" t="s">
        <v>215</v>
      </c>
      <c r="D16" s="115">
        <f>SUM(D8:D15)</f>
        <v>21678.66</v>
      </c>
      <c r="E16" s="120">
        <f>SUM(E8:E15)</f>
        <v>163046.01</v>
      </c>
      <c r="F16" s="1966"/>
      <c r="G16" s="1968"/>
      <c r="H16" s="968" t="s">
        <v>219</v>
      </c>
      <c r="I16" s="969"/>
      <c r="J16" s="1966"/>
      <c r="K16" s="3400" t="s">
        <v>2563</v>
      </c>
      <c r="L16" s="3401"/>
      <c r="M16" s="3401"/>
      <c r="N16" s="3401"/>
      <c r="O16" s="3401"/>
      <c r="P16" s="3402"/>
    </row>
    <row r="17" spans="1:19" ht="14.4">
      <c r="A17" s="121" t="s">
        <v>216</v>
      </c>
      <c r="B17" s="122" t="s">
        <v>217</v>
      </c>
      <c r="C17" s="2280" t="s">
        <v>2310</v>
      </c>
      <c r="D17" s="108" t="s">
        <v>204</v>
      </c>
      <c r="E17" s="124" t="s">
        <v>205</v>
      </c>
      <c r="F17" s="125"/>
      <c r="G17" s="1361"/>
      <c r="H17" s="970" t="s">
        <v>218</v>
      </c>
      <c r="I17" s="971" t="s">
        <v>2309</v>
      </c>
      <c r="J17" s="1966"/>
      <c r="K17" s="3403" t="s">
        <v>2564</v>
      </c>
      <c r="L17" s="3404"/>
      <c r="M17" s="3405"/>
      <c r="N17" s="3403" t="s">
        <v>2565</v>
      </c>
      <c r="O17" s="3404"/>
      <c r="P17" s="3405"/>
      <c r="R17" s="2281" t="s">
        <v>2308</v>
      </c>
      <c r="S17" s="144"/>
    </row>
    <row r="18" spans="1:19" ht="14.4">
      <c r="A18" s="117"/>
      <c r="B18" s="128"/>
      <c r="C18" s="129"/>
      <c r="D18" s="2603"/>
      <c r="E18" s="130" t="s">
        <v>220</v>
      </c>
      <c r="F18" s="131" t="s">
        <v>221</v>
      </c>
      <c r="G18" s="1362" t="s">
        <v>222</v>
      </c>
      <c r="H18" s="972" t="s">
        <v>223</v>
      </c>
      <c r="I18" s="973" t="s">
        <v>224</v>
      </c>
      <c r="J18" s="1966"/>
      <c r="K18" s="2566" t="s">
        <v>2566</v>
      </c>
      <c r="L18" s="2567" t="s">
        <v>2567</v>
      </c>
      <c r="M18" s="2568" t="s">
        <v>2568</v>
      </c>
      <c r="N18" s="2566" t="s">
        <v>2566</v>
      </c>
      <c r="O18" s="2567" t="s">
        <v>2567</v>
      </c>
      <c r="P18" s="2568" t="s">
        <v>2568</v>
      </c>
      <c r="R18" s="2282" t="s">
        <v>2306</v>
      </c>
      <c r="S18" s="2282" t="s">
        <v>2307</v>
      </c>
    </row>
    <row r="19" spans="1:19" ht="14.4">
      <c r="A19" s="133"/>
      <c r="B19" s="115" t="s">
        <v>225</v>
      </c>
      <c r="C19" s="2973" t="str">
        <f>'数据-基础表'!C13</f>
        <v>住宅</v>
      </c>
      <c r="D19" s="111">
        <f t="shared" ref="D19:D26" si="1">ROUND($D$3*E19/$E$3,2)</f>
        <v>11572.13</v>
      </c>
      <c r="E19" s="134">
        <f t="shared" ref="E19:E26" si="2">SUM(F19:G19)</f>
        <v>87034.41</v>
      </c>
      <c r="F19" s="135">
        <f>'数据-基础表'!I13</f>
        <v>87034.41</v>
      </c>
      <c r="G19" s="1363"/>
      <c r="H19" s="974">
        <f>ROUND($D$3*I19/$E$3,2)</f>
        <v>380.64</v>
      </c>
      <c r="I19" s="116">
        <f>IF($I$17="自定义",P19,M19)</f>
        <v>2862.8199999999997</v>
      </c>
      <c r="J19" s="1966"/>
      <c r="K19" s="2569">
        <f t="shared" ref="K19:K26" si="3">ROUND(E$28*E19/E$27,2)</f>
        <v>2265.6999999999998</v>
      </c>
      <c r="L19" s="275">
        <f t="shared" ref="L19:L26" si="4">ROUND(IF(COUNTIF(C19,"*住宅*")&gt;0,E$29*E19/E$32,0),2)</f>
        <v>597.12</v>
      </c>
      <c r="M19" s="2570">
        <f>K19+L19</f>
        <v>2862.8199999999997</v>
      </c>
      <c r="N19" s="2571"/>
      <c r="O19" s="2572"/>
      <c r="P19" s="2573">
        <f>N19+O19</f>
        <v>0</v>
      </c>
      <c r="R19" s="275">
        <f t="shared" ref="R19:S26" si="5">D19+H19</f>
        <v>11952.769999999999</v>
      </c>
      <c r="S19" s="2283">
        <f t="shared" si="5"/>
        <v>89897.23000000001</v>
      </c>
    </row>
    <row r="20" spans="1:19" ht="14.4">
      <c r="A20" s="138"/>
      <c r="B20" s="115" t="s">
        <v>226</v>
      </c>
      <c r="C20" s="2973" t="str">
        <f>'数据-基础表'!C14</f>
        <v>公寓</v>
      </c>
      <c r="D20" s="111">
        <f t="shared" si="1"/>
        <v>1226.32</v>
      </c>
      <c r="E20" s="134">
        <f t="shared" si="2"/>
        <v>9223.17</v>
      </c>
      <c r="F20" s="135">
        <f>'数据-基础表'!K14</f>
        <v>9223.17</v>
      </c>
      <c r="G20" s="1363"/>
      <c r="H20" s="974">
        <f t="shared" ref="H20:H26" si="6">ROUND($D$3*I20/$E$3,2)</f>
        <v>31.92</v>
      </c>
      <c r="I20" s="116">
        <f t="shared" ref="I20:I26" si="7">IF($I$17="自定义",P20,M20)</f>
        <v>240.1</v>
      </c>
      <c r="J20" s="1966"/>
      <c r="K20" s="2569">
        <f t="shared" si="3"/>
        <v>240.1</v>
      </c>
      <c r="L20" s="275">
        <f t="shared" si="4"/>
        <v>0</v>
      </c>
      <c r="M20" s="2570">
        <f t="shared" ref="M20:M26" si="8">K20+L20</f>
        <v>240.1</v>
      </c>
      <c r="N20" s="2571"/>
      <c r="O20" s="2572"/>
      <c r="P20" s="2573">
        <f t="shared" ref="P20:P26" si="9">N20+O20</f>
        <v>0</v>
      </c>
      <c r="R20" s="275">
        <f t="shared" si="5"/>
        <v>1258.24</v>
      </c>
      <c r="S20" s="2283">
        <f t="shared" si="5"/>
        <v>9463.27</v>
      </c>
    </row>
    <row r="21" spans="1:19" ht="14.4">
      <c r="A21" s="138"/>
      <c r="B21" s="115" t="s">
        <v>226</v>
      </c>
      <c r="C21" s="2973" t="str">
        <f>'数据-基础表'!C15</f>
        <v>商业</v>
      </c>
      <c r="D21" s="111">
        <f t="shared" si="1"/>
        <v>4275.68</v>
      </c>
      <c r="E21" s="134">
        <f t="shared" si="2"/>
        <v>32157.53</v>
      </c>
      <c r="F21" s="135">
        <f>'数据-基础表'!M15</f>
        <v>24650</v>
      </c>
      <c r="G21" s="1363">
        <f>'数据-基础表'!O15</f>
        <v>7507.5299999999988</v>
      </c>
      <c r="H21" s="974">
        <f t="shared" si="6"/>
        <v>111.31</v>
      </c>
      <c r="I21" s="116">
        <f t="shared" si="7"/>
        <v>837.13</v>
      </c>
      <c r="J21" s="1966"/>
      <c r="K21" s="2569">
        <f t="shared" si="3"/>
        <v>837.13</v>
      </c>
      <c r="L21" s="275">
        <f t="shared" si="4"/>
        <v>0</v>
      </c>
      <c r="M21" s="2570">
        <f t="shared" si="8"/>
        <v>837.13</v>
      </c>
      <c r="N21" s="2571"/>
      <c r="O21" s="2572"/>
      <c r="P21" s="2573">
        <f t="shared" si="9"/>
        <v>0</v>
      </c>
      <c r="R21" s="275">
        <f t="shared" si="5"/>
        <v>4386.9900000000007</v>
      </c>
      <c r="S21" s="2283">
        <f t="shared" si="5"/>
        <v>32994.659999999996</v>
      </c>
    </row>
    <row r="22" spans="1:19" ht="14.4">
      <c r="A22" s="138"/>
      <c r="B22" s="115" t="s">
        <v>226</v>
      </c>
      <c r="C22" s="2973">
        <f>'数据-基础表'!C16</f>
        <v>0</v>
      </c>
      <c r="D22" s="111">
        <f t="shared" si="1"/>
        <v>0</v>
      </c>
      <c r="E22" s="134">
        <f t="shared" si="2"/>
        <v>0</v>
      </c>
      <c r="F22" s="140"/>
      <c r="G22" s="1364">
        <f>'数据-基础表'!O16</f>
        <v>0</v>
      </c>
      <c r="H22" s="974">
        <f t="shared" si="6"/>
        <v>0</v>
      </c>
      <c r="I22" s="116">
        <f t="shared" si="7"/>
        <v>0</v>
      </c>
      <c r="J22" s="1966"/>
      <c r="K22" s="2569">
        <f t="shared" si="3"/>
        <v>0</v>
      </c>
      <c r="L22" s="275">
        <f t="shared" si="4"/>
        <v>0</v>
      </c>
      <c r="M22" s="2570">
        <f t="shared" si="8"/>
        <v>0</v>
      </c>
      <c r="N22" s="2571"/>
      <c r="O22" s="2572"/>
      <c r="P22" s="2573">
        <f t="shared" si="9"/>
        <v>0</v>
      </c>
      <c r="R22" s="275">
        <f t="shared" si="5"/>
        <v>0</v>
      </c>
      <c r="S22" s="2283">
        <f t="shared" si="5"/>
        <v>0</v>
      </c>
    </row>
    <row r="23" spans="1:19" ht="14.4">
      <c r="A23" s="138"/>
      <c r="B23" s="115" t="s">
        <v>226</v>
      </c>
      <c r="C23" s="139" t="str">
        <f>'数据-基础表'!C17</f>
        <v>车库</v>
      </c>
      <c r="D23" s="111">
        <f>ROUND($D$3*E23/$E$3,2)</f>
        <v>4604.54</v>
      </c>
      <c r="E23" s="134">
        <f>SUM(F23:G23)</f>
        <v>34630.9</v>
      </c>
      <c r="F23" s="140"/>
      <c r="G23" s="1364">
        <f>'数据-基础表'!Q17</f>
        <v>34630.9</v>
      </c>
      <c r="H23" s="974">
        <f>ROUND($D$3*I23/$E$3,2)</f>
        <v>119.87</v>
      </c>
      <c r="I23" s="116">
        <f t="shared" si="7"/>
        <v>901.52</v>
      </c>
      <c r="J23" s="1966"/>
      <c r="K23" s="2569">
        <f t="shared" si="3"/>
        <v>901.52</v>
      </c>
      <c r="L23" s="275">
        <f t="shared" si="4"/>
        <v>0</v>
      </c>
      <c r="M23" s="2570">
        <f t="shared" si="8"/>
        <v>901.52</v>
      </c>
      <c r="N23" s="2571"/>
      <c r="O23" s="2572"/>
      <c r="P23" s="2573">
        <f t="shared" si="9"/>
        <v>0</v>
      </c>
      <c r="R23" s="275">
        <f t="shared" si="5"/>
        <v>4724.41</v>
      </c>
      <c r="S23" s="2283">
        <f t="shared" si="5"/>
        <v>35532.42</v>
      </c>
    </row>
    <row r="24" spans="1:19" ht="14.4">
      <c r="A24" s="138"/>
      <c r="B24" s="115" t="s">
        <v>226</v>
      </c>
      <c r="C24" s="139"/>
      <c r="D24" s="111">
        <f>ROUND($D$3*E24/$E$3,2)</f>
        <v>0</v>
      </c>
      <c r="E24" s="134">
        <f>SUM(F24:G24)</f>
        <v>0</v>
      </c>
      <c r="F24" s="140"/>
      <c r="G24" s="1364"/>
      <c r="H24" s="974">
        <f>ROUND($D$3*I24/$E$3,2)</f>
        <v>0</v>
      </c>
      <c r="I24" s="116">
        <f t="shared" si="7"/>
        <v>0</v>
      </c>
      <c r="J24" s="1966"/>
      <c r="K24" s="2569">
        <f t="shared" si="3"/>
        <v>0</v>
      </c>
      <c r="L24" s="275">
        <f t="shared" si="4"/>
        <v>0</v>
      </c>
      <c r="M24" s="2570">
        <f t="shared" si="8"/>
        <v>0</v>
      </c>
      <c r="N24" s="2571"/>
      <c r="O24" s="2572"/>
      <c r="P24" s="2573">
        <f t="shared" si="9"/>
        <v>0</v>
      </c>
      <c r="R24" s="275">
        <f t="shared" si="5"/>
        <v>0</v>
      </c>
      <c r="S24" s="2283">
        <f t="shared" si="5"/>
        <v>0</v>
      </c>
    </row>
    <row r="25" spans="1:19" ht="14.4">
      <c r="A25" s="138"/>
      <c r="B25" s="115" t="s">
        <v>226</v>
      </c>
      <c r="C25" s="139"/>
      <c r="D25" s="111">
        <f t="shared" si="1"/>
        <v>0</v>
      </c>
      <c r="E25" s="134">
        <f t="shared" si="2"/>
        <v>0</v>
      </c>
      <c r="F25" s="140"/>
      <c r="G25" s="1364"/>
      <c r="H25" s="110">
        <f t="shared" si="6"/>
        <v>0</v>
      </c>
      <c r="I25" s="116">
        <f t="shared" si="7"/>
        <v>0</v>
      </c>
      <c r="J25" s="1966"/>
      <c r="K25" s="2569">
        <f t="shared" si="3"/>
        <v>0</v>
      </c>
      <c r="L25" s="275">
        <f t="shared" si="4"/>
        <v>0</v>
      </c>
      <c r="M25" s="2570">
        <f t="shared" si="8"/>
        <v>0</v>
      </c>
      <c r="N25" s="2571"/>
      <c r="O25" s="2572"/>
      <c r="P25" s="2573">
        <f t="shared" si="9"/>
        <v>0</v>
      </c>
      <c r="R25" s="275">
        <f t="shared" si="5"/>
        <v>0</v>
      </c>
      <c r="S25" s="2283">
        <f t="shared" si="5"/>
        <v>0</v>
      </c>
    </row>
    <row r="26" spans="1:19" ht="14.4">
      <c r="A26" s="138"/>
      <c r="B26" s="115" t="s">
        <v>226</v>
      </c>
      <c r="C26" s="142"/>
      <c r="D26" s="111">
        <f t="shared" si="1"/>
        <v>0</v>
      </c>
      <c r="E26" s="134">
        <f t="shared" si="2"/>
        <v>0</v>
      </c>
      <c r="F26" s="140"/>
      <c r="G26" s="1364"/>
      <c r="H26" s="110">
        <f t="shared" si="6"/>
        <v>0</v>
      </c>
      <c r="I26" s="116">
        <f t="shared" si="7"/>
        <v>0</v>
      </c>
      <c r="J26" s="1966"/>
      <c r="K26" s="2574">
        <f t="shared" si="3"/>
        <v>0</v>
      </c>
      <c r="L26" s="280">
        <f t="shared" si="4"/>
        <v>0</v>
      </c>
      <c r="M26" s="146">
        <f t="shared" si="8"/>
        <v>0</v>
      </c>
      <c r="N26" s="2575"/>
      <c r="O26" s="2576"/>
      <c r="P26" s="2577">
        <f t="shared" si="9"/>
        <v>0</v>
      </c>
      <c r="R26" s="275">
        <f t="shared" si="5"/>
        <v>0</v>
      </c>
      <c r="S26" s="2283">
        <f t="shared" si="5"/>
        <v>0</v>
      </c>
    </row>
    <row r="27" spans="1:19" ht="28.2" thickBot="1">
      <c r="A27" s="138"/>
      <c r="B27" s="111"/>
      <c r="C27" s="127" t="s">
        <v>215</v>
      </c>
      <c r="D27" s="134">
        <f>SUM(D19:D26)</f>
        <v>21678.67</v>
      </c>
      <c r="E27" s="143">
        <f>IF(SUM(E19:E26)='数据-基础表'!BA5,SUM(E19:E26),IF(F27="地上面积有误","面积有误","地下面积有误"))</f>
        <v>163046.01</v>
      </c>
      <c r="F27" s="134">
        <f>IF(SUM(F19:F26)=E8,SUM(F19:F26),"地上面积有误")</f>
        <v>120907.58</v>
      </c>
      <c r="G27" s="112">
        <f>SUM(G19:G26)</f>
        <v>42138.43</v>
      </c>
      <c r="H27" s="975">
        <f>SUM(H19:H26)</f>
        <v>643.74</v>
      </c>
      <c r="I27" s="976">
        <f>SUM(I19:I26)</f>
        <v>4841.57</v>
      </c>
      <c r="J27" s="1966"/>
      <c r="K27" s="2578">
        <f>SUM(K19:K26)</f>
        <v>4244.45</v>
      </c>
      <c r="L27" s="2579">
        <f>SUM(L19:L26)</f>
        <v>597.12</v>
      </c>
      <c r="M27" s="2580">
        <f>SUM(M19:M26)</f>
        <v>4841.57</v>
      </c>
      <c r="N27" s="2578">
        <f t="shared" ref="N27:O27" si="10">SUM(N19:N26)</f>
        <v>0</v>
      </c>
      <c r="O27" s="2579">
        <f t="shared" si="10"/>
        <v>0</v>
      </c>
      <c r="P27" s="2581">
        <f>SUM(P19:P26)</f>
        <v>0</v>
      </c>
      <c r="R27" s="2287" t="str">
        <f>IF(SUM(R19:R26)=$D$3,SUM(R19:R26),SUM(R19:R26)&amp;"误差"&amp;ROUND(SUM(R19:R26)-$D$3,2))</f>
        <v>22322.41误差0.01</v>
      </c>
      <c r="S27" s="275">
        <f>IF(SUM(S19:S26)=$E$3,SUM(S19:S26),SUM(S19:S26)&amp;"误差"&amp;ROUND(SUM(S19:S26)-E3,2))</f>
        <v>167887.58000000002</v>
      </c>
    </row>
    <row r="28" spans="1:19" ht="14.4">
      <c r="A28" s="138"/>
      <c r="B28" s="115" t="s">
        <v>227</v>
      </c>
      <c r="C28" s="136" t="s">
        <v>228</v>
      </c>
      <c r="D28" s="111">
        <f>ROUND($D$3*E28/$E$3,2)</f>
        <v>564.34</v>
      </c>
      <c r="E28" s="134">
        <f>SUM(F28:G28)</f>
        <v>4244.45</v>
      </c>
      <c r="F28" s="144">
        <f>'数据-基础表'!BQ5+'数据-基础表'!BS5</f>
        <v>1163.04</v>
      </c>
      <c r="G28" s="145">
        <f>'数据-基础表'!BR5+'数据-基础表'!BT5</f>
        <v>3081.41</v>
      </c>
      <c r="H28" s="1966"/>
      <c r="I28" s="1966"/>
      <c r="J28" s="1966"/>
      <c r="K28" s="1966"/>
      <c r="L28" s="1966"/>
    </row>
    <row r="29" spans="1:19" ht="14.4">
      <c r="A29" s="138"/>
      <c r="B29" s="115" t="s">
        <v>227</v>
      </c>
      <c r="C29" s="2295" t="s">
        <v>2317</v>
      </c>
      <c r="D29" s="111">
        <f>ROUND($D$3*E29/$E$3,2)</f>
        <v>79.39</v>
      </c>
      <c r="E29" s="134">
        <f>SUM(F29:G29)</f>
        <v>597.12</v>
      </c>
      <c r="F29" s="144">
        <f>'数据-基础表'!BM5+'数据-基础表'!BO5</f>
        <v>597.12</v>
      </c>
      <c r="G29" s="146">
        <f>'数据-基础表'!BN5+'数据-基础表'!BP5</f>
        <v>0</v>
      </c>
      <c r="H29" s="1966"/>
      <c r="I29" s="1966"/>
      <c r="J29" s="1966"/>
      <c r="K29" s="1966"/>
      <c r="L29" s="1966"/>
    </row>
    <row r="30" spans="1:19" ht="14.4">
      <c r="A30" s="138"/>
      <c r="B30" s="111"/>
      <c r="C30" s="147" t="s">
        <v>215</v>
      </c>
      <c r="D30" s="134">
        <f>SUM(D28:D29)</f>
        <v>643.73</v>
      </c>
      <c r="E30" s="134">
        <f>SUM(E28:E29)</f>
        <v>4841.57</v>
      </c>
      <c r="F30" s="134">
        <f>SUM(F28:F29)</f>
        <v>1760.1599999999999</v>
      </c>
      <c r="G30" s="112">
        <f>SUM(G28:G29)</f>
        <v>3081.41</v>
      </c>
      <c r="H30" s="1966"/>
      <c r="I30" s="1966"/>
      <c r="J30" s="1966"/>
      <c r="K30" s="1966"/>
      <c r="L30" s="1966"/>
    </row>
    <row r="31" spans="1:19" ht="32.25" customHeight="1" thickBot="1">
      <c r="A31" s="1365"/>
      <c r="B31" s="1366" t="s">
        <v>229</v>
      </c>
      <c r="C31" s="2312" t="s">
        <v>2319</v>
      </c>
      <c r="D31" s="1367">
        <f>D27+D30</f>
        <v>22322.399999999998</v>
      </c>
      <c r="E31" s="1367">
        <f>E27+E30</f>
        <v>167887.58000000002</v>
      </c>
      <c r="F31" s="1368">
        <f>F27+F30</f>
        <v>122667.74</v>
      </c>
      <c r="G31" s="1369">
        <f>G27+G30</f>
        <v>45219.839999999997</v>
      </c>
      <c r="H31" s="1966"/>
      <c r="I31" s="1966"/>
      <c r="J31" s="1966"/>
      <c r="K31" s="1966"/>
      <c r="L31" s="1966"/>
    </row>
    <row r="32" spans="1:19" ht="14.4">
      <c r="A32" s="1966"/>
      <c r="B32" s="2324" t="s">
        <v>2318</v>
      </c>
      <c r="C32" s="2608"/>
      <c r="D32" s="1197"/>
      <c r="E32" s="1197">
        <f>SUMIF(C19:C26,"*住宅*",E19:E26)</f>
        <v>87034.41</v>
      </c>
      <c r="F32" s="1197"/>
      <c r="G32" s="1197"/>
    </row>
    <row r="33" spans="4:4">
      <c r="D33" s="197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12"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90" zoomScaleNormal="90" workbookViewId="0">
      <pane xSplit="3" ySplit="5" topLeftCell="D12" activePane="bottomRight" state="frozen"/>
      <selection pane="topRight" activeCell="D1" sqref="D1"/>
      <selection pane="bottomLeft" activeCell="A4" sqref="A4"/>
      <selection pane="bottomRight" activeCell="I12" sqref="I12"/>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1" width="12.33203125" style="1214" customWidth="1"/>
    <col min="12" max="12" width="15" style="1214" customWidth="1"/>
    <col min="13" max="13" width="12"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0"/>
    <col min="42" max="42" width="0" style="1980" hidden="1" customWidth="1"/>
    <col min="43" max="83" width="13.77734375" style="1980"/>
    <col min="84" max="16384" width="13.77734375" style="1199"/>
  </cols>
  <sheetData>
    <row r="1" spans="1:83" ht="18" thickBot="1">
      <c r="A1" s="148" t="s">
        <v>234</v>
      </c>
      <c r="B1" s="1198"/>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2" customFormat="1" ht="15" thickBot="1">
      <c r="A2" s="149" t="s">
        <v>235</v>
      </c>
      <c r="B2" s="2320">
        <f>项目基本情况!D3</f>
        <v>43889</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2" customFormat="1" ht="14.4" thickBot="1">
      <c r="A3" s="1203"/>
      <c r="B3" s="1200"/>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8" customFormat="1" ht="57.6">
      <c r="A5" s="2286" t="s">
        <v>2321</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2824</v>
      </c>
      <c r="O5" s="163" t="s">
        <v>246</v>
      </c>
      <c r="P5" s="165" t="s">
        <v>247</v>
      </c>
      <c r="Q5" s="166" t="s">
        <v>248</v>
      </c>
      <c r="R5" s="167" t="s">
        <v>249</v>
      </c>
      <c r="S5" s="2582" t="s">
        <v>2569</v>
      </c>
      <c r="T5" s="168" t="s">
        <v>250</v>
      </c>
      <c r="U5" s="169" t="s">
        <v>251</v>
      </c>
      <c r="V5" s="159" t="s">
        <v>252</v>
      </c>
      <c r="W5" s="159" t="s">
        <v>253</v>
      </c>
      <c r="X5" s="1800"/>
      <c r="Y5" s="170" t="s">
        <v>254</v>
      </c>
      <c r="Z5" s="171" t="s">
        <v>255</v>
      </c>
      <c r="AA5" s="159" t="s">
        <v>252</v>
      </c>
      <c r="AB5" s="159" t="s">
        <v>253</v>
      </c>
      <c r="AC5" s="1801"/>
      <c r="AD5" s="172" t="s">
        <v>254</v>
      </c>
      <c r="AE5" s="1" t="s">
        <v>870</v>
      </c>
      <c r="AF5" s="159" t="s">
        <v>256</v>
      </c>
      <c r="AG5" s="170" t="s">
        <v>257</v>
      </c>
      <c r="AH5" s="1801" t="s">
        <v>2320</v>
      </c>
      <c r="AI5" s="171" t="s">
        <v>2289</v>
      </c>
      <c r="AJ5" s="171" t="s">
        <v>258</v>
      </c>
      <c r="AK5" s="159" t="s">
        <v>259</v>
      </c>
      <c r="AL5" s="159" t="s">
        <v>260</v>
      </c>
      <c r="AM5" s="172" t="s">
        <v>261</v>
      </c>
      <c r="AN5" s="2352" t="s">
        <v>2370</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2" customFormat="1" ht="14.4">
      <c r="A6" s="2284" t="str">
        <f>'数据-汇总表'!C19</f>
        <v>住宅</v>
      </c>
      <c r="B6" s="2319" t="str">
        <f>IF(A6=0,"","经营性")</f>
        <v>经营性</v>
      </c>
      <c r="C6" s="173" t="s">
        <v>923</v>
      </c>
      <c r="D6" s="2290">
        <f>SUMIF(项目基本情况!D$15:I$15,C6,项目基本情况!D$18:I$18)</f>
        <v>50</v>
      </c>
      <c r="E6" s="2291">
        <f>IF(B6="","",SUMIF(项目基本情况!D$15:I$15,C6,项目基本情况!D$17:I$17))</f>
        <v>59873</v>
      </c>
      <c r="F6" s="174">
        <f>SUMIF(项目基本情况!D$15:I$15,C6,项目基本情况!D$19:I$19)</f>
        <v>43.79</v>
      </c>
      <c r="G6" s="175">
        <f>IF(ISERROR(ROUND(POWER(1+H6,D6-F6)*(POWER(1+H6,F6)-1)/(POWER(1+H6,D6)-1),3)),0,ROUND(POWER(1+H6,D6-F6)*(POWER(1+H6,F6)-1)/(POWER(1+H6,D6)-1),3))</f>
        <v>0.96099999999999997</v>
      </c>
      <c r="H6" s="2974">
        <v>4.4999999999999998E-2</v>
      </c>
      <c r="I6" s="2974">
        <v>0.05</v>
      </c>
      <c r="J6" s="176">
        <v>0.08</v>
      </c>
      <c r="K6" s="179">
        <f>SUMIF('数据-汇总表'!C$19:C$33,'数据-取费表'!A6,'数据-汇总表'!E$19:E$33)</f>
        <v>87034.41</v>
      </c>
      <c r="L6" s="2975">
        <v>1800</v>
      </c>
      <c r="M6" s="177">
        <f t="shared" ref="M6:M14" si="0">ROUND(K6*L6/10000,0)</f>
        <v>15666</v>
      </c>
      <c r="N6" s="2976">
        <v>0</v>
      </c>
      <c r="O6" s="177">
        <f>IF($N$5="成新度","——",ROUND(M6*N6,0))</f>
        <v>0</v>
      </c>
      <c r="P6" s="178">
        <f>IF($N$5="成新度","——",M6-O6)</f>
        <v>15666</v>
      </c>
      <c r="Q6" s="2977">
        <v>0.15</v>
      </c>
      <c r="R6" s="179">
        <f>SUMIF('数据-汇总表'!C$19:C$33,A6,'数据-汇总表'!R$19:R$33)</f>
        <v>11952.769999999999</v>
      </c>
      <c r="S6" s="132">
        <f>IF('数据-汇总表'!$I$17="按面积比例",SUMIF('数据-汇总表'!C$19:C$33,A6,'数据-汇总表'!K$19:K$33),SUMIF('数据-汇总表'!C$19:C$33,A6,'数据-汇总表'!N$19:N$33))</f>
        <v>2265.6999999999998</v>
      </c>
      <c r="T6" s="2216">
        <f>IF($T$4="按面积比例",IF(ISERROR(ROUND($M$14*S6/S$16,0)),"0",ROUND($M$14*S6/S$16,0)),"需自行计算录入")</f>
        <v>408</v>
      </c>
      <c r="U6" s="180"/>
      <c r="V6" s="181"/>
      <c r="W6" s="181"/>
      <c r="X6" s="2303"/>
      <c r="Y6" s="182">
        <v>1</v>
      </c>
      <c r="Z6" s="183"/>
      <c r="AA6" s="176"/>
      <c r="AB6" s="176"/>
      <c r="AC6" s="2306"/>
      <c r="AD6" s="184"/>
      <c r="AE6" s="972">
        <f ca="1">IF(AN6="",0,SUMIF(INDIRECT("'"&amp;AN6&amp;"'"&amp;"!E:E"),$AE$5,INDIRECT("'"&amp;AN6&amp;"'"&amp;"!F:F")))</f>
        <v>0</v>
      </c>
      <c r="AF6" s="141"/>
      <c r="AG6" s="1209">
        <f>IF(AF6="",0,AE6-AF6)</f>
        <v>0</v>
      </c>
      <c r="AH6" s="141"/>
      <c r="AI6" s="187">
        <v>365</v>
      </c>
      <c r="AJ6" s="188"/>
      <c r="AK6" s="189"/>
      <c r="AL6" s="190"/>
      <c r="AM6" s="2988"/>
      <c r="AN6" s="2353"/>
      <c r="AO6" s="1982"/>
      <c r="AP6" s="1200">
        <f>ROUND(1-1/(1+H6)^F6,3)</f>
        <v>0.85399999999999998</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2" customFormat="1" ht="14.4">
      <c r="A7" s="2284" t="str">
        <f>'数据-汇总表'!C20</f>
        <v>公寓</v>
      </c>
      <c r="B7" s="2319" t="str">
        <f t="shared" ref="B7:B13" si="1">IF(A7=0,"","经营性")</f>
        <v>经营性</v>
      </c>
      <c r="C7" s="173" t="s">
        <v>3132</v>
      </c>
      <c r="D7" s="2290">
        <f>SUMIF(项目基本情况!D$15:I$15,C7,项目基本情况!D$18:I$18)</f>
        <v>40</v>
      </c>
      <c r="E7" s="2291">
        <f>IF(B7="","",SUMIF(项目基本情况!D$15:I$15,C7,项目基本情况!D$17:I$17))</f>
        <v>56221</v>
      </c>
      <c r="F7" s="174">
        <f>SUMIF(项目基本情况!D$15:I$15,C7,项目基本情况!D$19:I$19)</f>
        <v>33.78</v>
      </c>
      <c r="G7" s="175">
        <f t="shared" ref="G7:G11" si="2">IF(ISERROR(ROUND(POWER(1+H7,D7-F7)*(POWER(1+H7,F7)-1)/(POWER(1+H7,D7)-1),3)),0,ROUND(POWER(1+H7,D7-F7)*(POWER(1+H7,F7)-1)/(POWER(1+H7,D7)-1),3))</f>
        <v>0.93500000000000005</v>
      </c>
      <c r="H7" s="2974">
        <f>H6</f>
        <v>4.4999999999999998E-2</v>
      </c>
      <c r="I7" s="2974">
        <f>I6</f>
        <v>0.05</v>
      </c>
      <c r="J7" s="176">
        <f>J6</f>
        <v>0.08</v>
      </c>
      <c r="K7" s="179">
        <f>SUMIF('数据-汇总表'!C$19:C$33,'数据-取费表'!A7,'数据-汇总表'!E$19:E$33)</f>
        <v>9223.17</v>
      </c>
      <c r="L7" s="2975">
        <f>L6</f>
        <v>1800</v>
      </c>
      <c r="M7" s="177">
        <f t="shared" si="0"/>
        <v>1660</v>
      </c>
      <c r="N7" s="2976">
        <f>N6</f>
        <v>0</v>
      </c>
      <c r="O7" s="177">
        <f t="shared" ref="O7:O14" si="3">IF($N$5="成新度","——",ROUND(M7*N7,0))</f>
        <v>0</v>
      </c>
      <c r="P7" s="178">
        <f t="shared" ref="P7:P14" si="4">IF($N$5="成新度","——",M7-O7)</f>
        <v>1660</v>
      </c>
      <c r="Q7" s="2977">
        <v>0.1</v>
      </c>
      <c r="R7" s="179">
        <f>SUMIF('数据-汇总表'!C$19:C$33,A7,'数据-汇总表'!R$19:R$33)</f>
        <v>1258.24</v>
      </c>
      <c r="S7" s="132">
        <f>IF('数据-汇总表'!$I$17="按面积比例",SUMIF('数据-汇总表'!C$19:C$33,A7,'数据-汇总表'!K$19:K$33),SUMIF('数据-汇总表'!C$19:C$33,A7,'数据-汇总表'!N$19:N$33))</f>
        <v>240.1</v>
      </c>
      <c r="T7" s="2216">
        <f t="shared" ref="T7:T13" si="5">IF($T$4="按面积比例",IF(ISERROR(ROUND($M$14*S7/S$16,0)),"0",ROUND($M$14*S7/S$16,0)),"需自行计算录入")</f>
        <v>43</v>
      </c>
      <c r="U7" s="180"/>
      <c r="V7" s="181"/>
      <c r="W7" s="181"/>
      <c r="X7" s="2303"/>
      <c r="Y7" s="182">
        <f>Y6</f>
        <v>1</v>
      </c>
      <c r="Z7" s="183"/>
      <c r="AA7" s="176"/>
      <c r="AB7" s="176"/>
      <c r="AC7" s="2306"/>
      <c r="AD7" s="184"/>
      <c r="AE7" s="972">
        <f t="shared" ref="AE7:AE13" ca="1" si="6">IF(AN7="",0,SUMIF(INDIRECT("'"&amp;AN7&amp;"'"&amp;"!E:E"),$AE$5,INDIRECT("'"&amp;AN7&amp;"'"&amp;"!F:F")))</f>
        <v>0</v>
      </c>
      <c r="AF7" s="141"/>
      <c r="AG7" s="1209">
        <f t="shared" ref="AG7:AG13" si="7">IF(AF7="",0,AE7-AF7)</f>
        <v>0</v>
      </c>
      <c r="AH7" s="141"/>
      <c r="AI7" s="187"/>
      <c r="AJ7" s="188"/>
      <c r="AK7" s="189"/>
      <c r="AL7" s="190"/>
      <c r="AM7" s="2351"/>
      <c r="AN7" s="2353"/>
      <c r="AO7" s="1982"/>
      <c r="AP7" s="1200">
        <f t="shared" ref="AP7:AP13" si="8">ROUND(1-1/(1+H7)^F7,3)</f>
        <v>0.77400000000000002</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2" customFormat="1" ht="14.4">
      <c r="A8" s="2284" t="str">
        <f>'数据-汇总表'!C21</f>
        <v>商业</v>
      </c>
      <c r="B8" s="2319" t="str">
        <f t="shared" si="1"/>
        <v>经营性</v>
      </c>
      <c r="C8" s="173" t="s">
        <v>3132</v>
      </c>
      <c r="D8" s="2290">
        <f>SUMIF(项目基本情况!D$15:I$15,C8,项目基本情况!D$18:I$18)</f>
        <v>40</v>
      </c>
      <c r="E8" s="2291">
        <f>IF(B8="","",SUMIF(项目基本情况!D$15:I$15,C8,项目基本情况!D$17:I$17))</f>
        <v>56221</v>
      </c>
      <c r="F8" s="174">
        <f>SUMIF(项目基本情况!D$15:I$15,C8,项目基本情况!D$19:I$19)</f>
        <v>33.78</v>
      </c>
      <c r="G8" s="175">
        <f t="shared" si="2"/>
        <v>0.94099999999999995</v>
      </c>
      <c r="H8" s="2974">
        <v>0.05</v>
      </c>
      <c r="I8" s="2974">
        <v>5.5E-2</v>
      </c>
      <c r="J8" s="176">
        <f>J6</f>
        <v>0.08</v>
      </c>
      <c r="K8" s="179">
        <f>SUMIF('数据-汇总表'!C$19:C$33,'数据-取费表'!A8,'数据-汇总表'!E$19:E$33)</f>
        <v>32157.53</v>
      </c>
      <c r="L8" s="2975">
        <f>L6</f>
        <v>1800</v>
      </c>
      <c r="M8" s="177">
        <f>ROUND(K8*L8/10000,0)</f>
        <v>5788</v>
      </c>
      <c r="N8" s="2976">
        <f>N6</f>
        <v>0</v>
      </c>
      <c r="O8" s="177">
        <f t="shared" si="3"/>
        <v>0</v>
      </c>
      <c r="P8" s="178">
        <f t="shared" si="4"/>
        <v>5788</v>
      </c>
      <c r="Q8" s="2977">
        <v>0.15</v>
      </c>
      <c r="R8" s="179">
        <f>SUMIF('数据-汇总表'!C$19:C$33,A8,'数据-汇总表'!R$19:R$33)</f>
        <v>4386.9900000000007</v>
      </c>
      <c r="S8" s="132">
        <f>IF('数据-汇总表'!$I$17="按面积比例",SUMIF('数据-汇总表'!C$19:C$33,A8,'数据-汇总表'!K$19:K$33),SUMIF('数据-汇总表'!C$19:C$33,A8,'数据-汇总表'!N$19:N$33))</f>
        <v>837.13</v>
      </c>
      <c r="T8" s="2216">
        <f t="shared" si="5"/>
        <v>151</v>
      </c>
      <c r="U8" s="3277">
        <f>面积!AB21</f>
        <v>1.64</v>
      </c>
      <c r="V8" s="181">
        <v>0.02</v>
      </c>
      <c r="W8" s="181">
        <v>0.15</v>
      </c>
      <c r="X8" s="2303"/>
      <c r="Y8" s="182">
        <f>Y6</f>
        <v>1</v>
      </c>
      <c r="Z8" s="183"/>
      <c r="AA8" s="176"/>
      <c r="AB8" s="176"/>
      <c r="AC8" s="2306"/>
      <c r="AD8" s="184"/>
      <c r="AE8" s="972">
        <f t="shared" ca="1" si="6"/>
        <v>31.78</v>
      </c>
      <c r="AF8" s="141"/>
      <c r="AG8" s="1209">
        <f t="shared" si="7"/>
        <v>0</v>
      </c>
      <c r="AH8" s="141"/>
      <c r="AI8" s="187">
        <v>365</v>
      </c>
      <c r="AJ8" s="188"/>
      <c r="AK8" s="189">
        <v>1.4999999999999999E-2</v>
      </c>
      <c r="AL8" s="190">
        <v>1.5E-3</v>
      </c>
      <c r="AM8" s="2351">
        <v>0.01</v>
      </c>
      <c r="AN8" s="2353" t="s">
        <v>3183</v>
      </c>
      <c r="AO8" s="1982"/>
      <c r="AP8" s="1200">
        <f t="shared" si="8"/>
        <v>0.80800000000000005</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2" customFormat="1" ht="14.4">
      <c r="A9" s="2284">
        <f>'数据-汇总表'!C22</f>
        <v>0</v>
      </c>
      <c r="B9" s="2319" t="str">
        <f t="shared" si="1"/>
        <v/>
      </c>
      <c r="C9" s="173"/>
      <c r="D9" s="2290">
        <f>SUMIF(项目基本情况!D$15:I$15,C9,项目基本情况!D$18:I$18)</f>
        <v>0</v>
      </c>
      <c r="E9" s="2291"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6">
        <f t="shared" si="5"/>
        <v>0</v>
      </c>
      <c r="U9" s="180"/>
      <c r="V9" s="181"/>
      <c r="W9" s="181"/>
      <c r="X9" s="2303"/>
      <c r="Y9" s="182"/>
      <c r="Z9" s="183"/>
      <c r="AA9" s="176"/>
      <c r="AB9" s="176"/>
      <c r="AC9" s="2306"/>
      <c r="AD9" s="184"/>
      <c r="AE9" s="972">
        <f t="shared" ca="1" si="6"/>
        <v>0</v>
      </c>
      <c r="AF9" s="141"/>
      <c r="AG9" s="1209">
        <f t="shared" si="7"/>
        <v>0</v>
      </c>
      <c r="AH9" s="141"/>
      <c r="AI9" s="187">
        <v>365</v>
      </c>
      <c r="AJ9" s="188"/>
      <c r="AK9" s="189"/>
      <c r="AL9" s="190"/>
      <c r="AM9" s="2351"/>
      <c r="AN9" s="2353"/>
      <c r="AO9" s="1982"/>
      <c r="AP9" s="1200">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2" customFormat="1" ht="14.4">
      <c r="A10" s="2284" t="str">
        <f>'数据-汇总表'!C23</f>
        <v>车库</v>
      </c>
      <c r="B10" s="2319" t="str">
        <f t="shared" si="1"/>
        <v>经营性</v>
      </c>
      <c r="C10" s="173" t="s">
        <v>3288</v>
      </c>
      <c r="D10" s="2290">
        <f>SUMIF(项目基本情况!D$15:I$15,C10,项目基本情况!D$18:I$18)</f>
        <v>50</v>
      </c>
      <c r="E10" s="2291">
        <f>IF(B10="","",SUMIF(项目基本情况!D$15:I$15,C10,项目基本情况!D$17:I$17))</f>
        <v>59873</v>
      </c>
      <c r="F10" s="174">
        <f>SUMIF(项目基本情况!D$15:I$15,C10,项目基本情况!D$19:I$19)</f>
        <v>43.79</v>
      </c>
      <c r="G10" s="175">
        <f t="shared" si="2"/>
        <v>0.95499999999999996</v>
      </c>
      <c r="H10" s="176">
        <v>0.04</v>
      </c>
      <c r="I10" s="176">
        <v>4.4999999999999998E-2</v>
      </c>
      <c r="J10" s="176">
        <f>J6</f>
        <v>0.08</v>
      </c>
      <c r="K10" s="179">
        <f>SUMIF('数据-汇总表'!C$19:C$33,'数据-取费表'!A10,'数据-汇总表'!E$19:E$33)</f>
        <v>34630.9</v>
      </c>
      <c r="L10" s="193">
        <f>L6</f>
        <v>1800</v>
      </c>
      <c r="M10" s="177">
        <f t="shared" si="0"/>
        <v>6234</v>
      </c>
      <c r="N10" s="194">
        <f>N6</f>
        <v>0</v>
      </c>
      <c r="O10" s="177">
        <f t="shared" si="3"/>
        <v>0</v>
      </c>
      <c r="P10" s="178">
        <f t="shared" si="4"/>
        <v>6234</v>
      </c>
      <c r="Q10" s="192">
        <v>0.05</v>
      </c>
      <c r="R10" s="179">
        <f>SUMIF('数据-汇总表'!C$19:C$33,A10,'数据-汇总表'!R$19:R$33)</f>
        <v>4724.41</v>
      </c>
      <c r="S10" s="132">
        <f>IF('数据-汇总表'!$I$17="按面积比例",SUMIF('数据-汇总表'!C$19:C$33,A10,'数据-汇总表'!K$19:K$33),SUMIF('数据-汇总表'!C$19:C$33,A10,'数据-汇总表'!N$19:N$33))</f>
        <v>901.52</v>
      </c>
      <c r="T10" s="2216">
        <f t="shared" si="5"/>
        <v>162</v>
      </c>
      <c r="U10" s="3277">
        <v>450</v>
      </c>
      <c r="V10" s="181">
        <v>0.01</v>
      </c>
      <c r="W10" s="181">
        <f>W8</f>
        <v>0.15</v>
      </c>
      <c r="X10" s="2303"/>
      <c r="Y10" s="182">
        <f>Y6</f>
        <v>1</v>
      </c>
      <c r="Z10" s="183"/>
      <c r="AA10" s="176"/>
      <c r="AB10" s="176"/>
      <c r="AC10" s="2306"/>
      <c r="AD10" s="184"/>
      <c r="AE10" s="972">
        <f t="shared" ca="1" si="6"/>
        <v>41.79</v>
      </c>
      <c r="AF10" s="141"/>
      <c r="AG10" s="1209">
        <f t="shared" si="7"/>
        <v>0</v>
      </c>
      <c r="AH10" s="3278">
        <f>面积!J26</f>
        <v>866</v>
      </c>
      <c r="AI10" s="187">
        <v>12</v>
      </c>
      <c r="AJ10" s="188"/>
      <c r="AK10" s="189">
        <v>5.0000000000000001E-3</v>
      </c>
      <c r="AL10" s="190">
        <f>AL8</f>
        <v>1.5E-3</v>
      </c>
      <c r="AM10" s="2351">
        <v>0.05</v>
      </c>
      <c r="AN10" s="2353" t="s">
        <v>3301</v>
      </c>
      <c r="AO10" s="1982"/>
      <c r="AP10" s="1200">
        <f t="shared" si="8"/>
        <v>0.82</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2" customFormat="1" ht="14.4">
      <c r="A11" s="2284">
        <f>'数据-汇总表'!C24</f>
        <v>0</v>
      </c>
      <c r="B11" s="2319" t="str">
        <f t="shared" si="1"/>
        <v/>
      </c>
      <c r="C11" s="173"/>
      <c r="D11" s="2290">
        <f>SUMIF(项目基本情况!D$15:I$15,C11,项目基本情况!D$18:I$18)</f>
        <v>0</v>
      </c>
      <c r="E11" s="229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6">
        <f t="shared" si="5"/>
        <v>0</v>
      </c>
      <c r="U11" s="185"/>
      <c r="V11" s="176"/>
      <c r="W11" s="176"/>
      <c r="X11" s="2306"/>
      <c r="Y11" s="182"/>
      <c r="Z11" s="195"/>
      <c r="AA11" s="176"/>
      <c r="AB11" s="176"/>
      <c r="AC11" s="2306"/>
      <c r="AD11" s="184"/>
      <c r="AE11" s="972">
        <f t="shared" ca="1" si="6"/>
        <v>0</v>
      </c>
      <c r="AF11" s="141"/>
      <c r="AG11" s="1209">
        <f t="shared" si="7"/>
        <v>0</v>
      </c>
      <c r="AH11" s="141"/>
      <c r="AI11" s="187"/>
      <c r="AJ11" s="188"/>
      <c r="AK11" s="196"/>
      <c r="AL11" s="197"/>
      <c r="AM11" s="1799"/>
      <c r="AN11" s="2353"/>
      <c r="AO11" s="1982"/>
      <c r="AP11" s="1200">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2" customFormat="1" ht="14.4">
      <c r="A12" s="2284">
        <f>'数据-汇总表'!C25</f>
        <v>0</v>
      </c>
      <c r="B12" s="2319" t="str">
        <f t="shared" si="1"/>
        <v/>
      </c>
      <c r="C12" s="173"/>
      <c r="D12" s="2290">
        <f>SUMIF(项目基本情况!D$15:I$15,C12,项目基本情况!D$18:I$18)</f>
        <v>0</v>
      </c>
      <c r="E12" s="229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6">
        <f t="shared" si="5"/>
        <v>0</v>
      </c>
      <c r="U12" s="185"/>
      <c r="V12" s="176"/>
      <c r="W12" s="176"/>
      <c r="X12" s="2306"/>
      <c r="Y12" s="182"/>
      <c r="Z12" s="195"/>
      <c r="AA12" s="176"/>
      <c r="AB12" s="176"/>
      <c r="AC12" s="2306"/>
      <c r="AD12" s="184"/>
      <c r="AE12" s="972">
        <f t="shared" ca="1" si="6"/>
        <v>0</v>
      </c>
      <c r="AF12" s="141"/>
      <c r="AG12" s="1209">
        <f t="shared" si="7"/>
        <v>0</v>
      </c>
      <c r="AH12" s="141"/>
      <c r="AI12" s="187"/>
      <c r="AJ12" s="188"/>
      <c r="AK12" s="196"/>
      <c r="AL12" s="197"/>
      <c r="AM12" s="1799"/>
      <c r="AN12" s="2353"/>
      <c r="AO12" s="1982"/>
      <c r="AP12" s="1200">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2" customFormat="1" ht="14.4">
      <c r="A13" s="2284">
        <f>'数据-汇总表'!C26</f>
        <v>0</v>
      </c>
      <c r="B13" s="2319" t="str">
        <f t="shared" si="1"/>
        <v/>
      </c>
      <c r="C13" s="173"/>
      <c r="D13" s="2290">
        <f>SUMIF(项目基本情况!D$15:I$15,C13,项目基本情况!D$18:I$18)</f>
        <v>0</v>
      </c>
      <c r="E13" s="229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6">
        <f t="shared" si="5"/>
        <v>0</v>
      </c>
      <c r="U13" s="180"/>
      <c r="V13" s="181"/>
      <c r="W13" s="181"/>
      <c r="X13" s="2303"/>
      <c r="Y13" s="182"/>
      <c r="Z13" s="183"/>
      <c r="AA13" s="176"/>
      <c r="AB13" s="176"/>
      <c r="AC13" s="2306"/>
      <c r="AD13" s="184"/>
      <c r="AE13" s="972">
        <f t="shared" ca="1" si="6"/>
        <v>0</v>
      </c>
      <c r="AF13" s="141"/>
      <c r="AG13" s="1209">
        <f t="shared" si="7"/>
        <v>0</v>
      </c>
      <c r="AH13" s="141"/>
      <c r="AI13" s="187"/>
      <c r="AJ13" s="188"/>
      <c r="AK13" s="189"/>
      <c r="AL13" s="190"/>
      <c r="AM13" s="2351"/>
      <c r="AN13" s="2353"/>
      <c r="AO13" s="1982"/>
      <c r="AP13" s="1200">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2" customFormat="1" ht="13.8">
      <c r="A14" s="2285" t="s">
        <v>2311</v>
      </c>
      <c r="B14" s="2288" t="s">
        <v>1679</v>
      </c>
      <c r="C14" s="2289" t="s">
        <v>2311</v>
      </c>
      <c r="D14" s="2290"/>
      <c r="E14" s="2291"/>
      <c r="F14" s="174"/>
      <c r="G14" s="175"/>
      <c r="H14" s="2292"/>
      <c r="I14" s="2292"/>
      <c r="J14" s="2292"/>
      <c r="K14" s="179">
        <f>SUMIF('数据-汇总表'!C$19:C$33,'数据-取费表'!A14,'数据-汇总表'!E$19:E$33)</f>
        <v>4244.45</v>
      </c>
      <c r="L14" s="193">
        <f>L6</f>
        <v>1800</v>
      </c>
      <c r="M14" s="177">
        <f t="shared" si="0"/>
        <v>764</v>
      </c>
      <c r="N14" s="194">
        <f>N6</f>
        <v>0</v>
      </c>
      <c r="O14" s="177">
        <f t="shared" si="3"/>
        <v>0</v>
      </c>
      <c r="P14" s="178">
        <f t="shared" si="4"/>
        <v>764</v>
      </c>
      <c r="Q14" s="2300"/>
      <c r="R14" s="179"/>
      <c r="S14" s="132"/>
      <c r="T14" s="2299"/>
      <c r="U14" s="974"/>
      <c r="V14" s="2302"/>
      <c r="W14" s="2302"/>
      <c r="X14" s="2303"/>
      <c r="Y14" s="2304"/>
      <c r="Z14" s="136"/>
      <c r="AA14" s="2305"/>
      <c r="AB14" s="2305"/>
      <c r="AC14" s="2306"/>
      <c r="AD14" s="2303"/>
      <c r="AE14" s="972"/>
      <c r="AF14" s="2278"/>
      <c r="AG14" s="1209"/>
      <c r="AH14" s="2278"/>
      <c r="AI14" s="1557"/>
      <c r="AJ14" s="1557"/>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2" customFormat="1" ht="28.8">
      <c r="A15" s="2294" t="s">
        <v>2313</v>
      </c>
      <c r="B15" s="2288" t="s">
        <v>1679</v>
      </c>
      <c r="C15" s="2289" t="s">
        <v>2312</v>
      </c>
      <c r="D15" s="2290"/>
      <c r="E15" s="2291"/>
      <c r="F15" s="174"/>
      <c r="G15" s="175"/>
      <c r="H15" s="2292"/>
      <c r="I15" s="2292"/>
      <c r="J15" s="2292"/>
      <c r="K15" s="179">
        <f>SUMIF('数据-汇总表'!C$19:C$33,'数据-取费表'!A15,'数据-汇总表'!E$19:E$33)</f>
        <v>597.12</v>
      </c>
      <c r="L15" s="2298"/>
      <c r="M15" s="177"/>
      <c r="N15" s="2301"/>
      <c r="O15" s="177"/>
      <c r="P15" s="178"/>
      <c r="Q15" s="2300"/>
      <c r="R15" s="179"/>
      <c r="S15" s="132"/>
      <c r="T15" s="2299"/>
      <c r="U15" s="974"/>
      <c r="V15" s="2302"/>
      <c r="W15" s="2302"/>
      <c r="X15" s="2303"/>
      <c r="Y15" s="2304"/>
      <c r="Z15" s="136"/>
      <c r="AA15" s="2305"/>
      <c r="AB15" s="2305"/>
      <c r="AC15" s="2306"/>
      <c r="AD15" s="2303"/>
      <c r="AE15" s="972"/>
      <c r="AF15" s="2278"/>
      <c r="AG15" s="1209"/>
      <c r="AH15" s="2278"/>
      <c r="AI15" s="1557"/>
      <c r="AJ15" s="1557"/>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2" customFormat="1" ht="15" thickBot="1">
      <c r="A16" s="198" t="s">
        <v>262</v>
      </c>
      <c r="B16" s="199"/>
      <c r="C16" s="200"/>
      <c r="D16" s="201"/>
      <c r="E16" s="199"/>
      <c r="F16" s="199"/>
      <c r="G16" s="202">
        <f>ROUND(SUMPRODUCT(G6:G13,K6:K13)/SUMPRODUCT((G6:G13&gt;0)*(K6:K13)),3)</f>
        <v>0.95399999999999996</v>
      </c>
      <c r="H16" s="203">
        <f>ROUND(SUMPRODUCT(H6:H13,K6:K13)/SUMPRODUCT((H6:H13&gt;0)*(K6:K13)),3)</f>
        <v>4.4999999999999998E-2</v>
      </c>
      <c r="I16" s="204"/>
      <c r="J16" s="204"/>
      <c r="K16" s="205">
        <f>SUM(K6:K15)</f>
        <v>167887.58000000002</v>
      </c>
      <c r="L16" s="206">
        <f>ROUND(M16*10000/SUM(K6:K14),0)</f>
        <v>1800</v>
      </c>
      <c r="M16" s="206">
        <f>SUM(M6:M14)</f>
        <v>30112</v>
      </c>
      <c r="N16" s="207">
        <f>ROUND(SUMPRODUCT(M6:M14,N6:N14)/M16,3)</f>
        <v>0</v>
      </c>
      <c r="O16" s="206">
        <f>SUM(O6:O14)</f>
        <v>0</v>
      </c>
      <c r="P16" s="206">
        <f>SUM(P6:P14)</f>
        <v>30112</v>
      </c>
      <c r="Q16" s="208">
        <f>ROUND(SUMPRODUCT(Q6:Q13,K6:K13)/SUMPRODUCT((Q6:Q13&gt;0)*(K6:K13)),2)</f>
        <v>0.13</v>
      </c>
      <c r="R16" s="2293">
        <f>SUM(R6:R13)</f>
        <v>22322.41</v>
      </c>
      <c r="S16" s="209">
        <f>SUM(S6:S13)</f>
        <v>4244.45</v>
      </c>
      <c r="T16" s="210">
        <f>IF(SUMIF(T6:T13,"&lt;9E307")=M14,SUMIF(T6:T13,"&lt;9E307"),"有误，请检查")</f>
        <v>764</v>
      </c>
      <c r="U16" s="211"/>
      <c r="V16" s="212"/>
      <c r="W16" s="212"/>
      <c r="X16" s="215"/>
      <c r="Y16" s="213"/>
      <c r="Z16" s="214"/>
      <c r="AA16" s="212"/>
      <c r="AB16" s="212"/>
      <c r="AC16" s="215"/>
      <c r="AD16" s="215"/>
      <c r="AE16" s="211"/>
      <c r="AF16" s="212"/>
      <c r="AG16" s="213"/>
      <c r="AH16" s="212"/>
      <c r="AI16" s="214"/>
      <c r="AJ16" s="214"/>
      <c r="AK16" s="212"/>
      <c r="AL16" s="212"/>
      <c r="AM16" s="213"/>
      <c r="AN16" s="1982"/>
      <c r="AO16" s="1982"/>
      <c r="AP16" s="1200">
        <f>ROUND(SUMPRODUCT(AP6:AP13,K6:K13)/SUMPRODUCT((AP6:AP13&gt;0)*(K6:K13)),3)</f>
        <v>0.83299999999999996</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8" thickBot="1">
      <c r="A17" s="1210"/>
      <c r="B17" s="1198"/>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200"/>
      <c r="C18" s="1974"/>
      <c r="D18" s="1975"/>
      <c r="E18" s="1974"/>
      <c r="F18" s="1974"/>
      <c r="G18" s="1974"/>
      <c r="H18" s="1974"/>
      <c r="I18" s="1974"/>
      <c r="J18" s="1974"/>
      <c r="K18" s="1973"/>
      <c r="L18" s="1973"/>
      <c r="M18" s="1971"/>
      <c r="N18" s="1971"/>
      <c r="O18" s="1971"/>
      <c r="P18" s="1971"/>
      <c r="Q18" s="3280">
        <f>Q16/B20</f>
        <v>6.5000000000000002E-2</v>
      </c>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4">
      <c r="A19" s="217" t="s">
        <v>264</v>
      </c>
      <c r="B19" s="218">
        <v>0</v>
      </c>
      <c r="C19" s="2325" t="s">
        <v>2333</v>
      </c>
      <c r="D19" s="1975"/>
      <c r="E19" s="1974"/>
      <c r="F19" s="1974"/>
      <c r="G19" s="1974"/>
      <c r="H19" s="1974"/>
      <c r="I19" s="1974"/>
      <c r="J19" s="1974"/>
      <c r="K19" s="1973"/>
      <c r="L19" s="1973"/>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4">
      <c r="A20" s="219" t="s">
        <v>265</v>
      </c>
      <c r="B20" s="220">
        <v>2</v>
      </c>
      <c r="C20" s="2325" t="s">
        <v>2332</v>
      </c>
      <c r="D20" s="1975"/>
      <c r="E20" s="1974"/>
      <c r="F20" s="1974"/>
      <c r="G20" s="1974"/>
      <c r="H20" s="1974"/>
      <c r="I20" s="1974"/>
      <c r="J20" s="1974"/>
      <c r="K20" s="3283" t="s">
        <v>3378</v>
      </c>
      <c r="L20" s="3285"/>
      <c r="M20" s="3285"/>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4">
      <c r="A21" s="221" t="s">
        <v>266</v>
      </c>
      <c r="B21" s="220">
        <v>0</v>
      </c>
      <c r="C21" s="1974"/>
      <c r="D21" s="1975"/>
      <c r="E21" s="1974"/>
      <c r="F21" s="1974"/>
      <c r="G21" s="1974"/>
      <c r="H21" s="1974"/>
      <c r="I21" s="1974"/>
      <c r="J21" s="1974"/>
      <c r="K21" s="3286" t="s">
        <v>3379</v>
      </c>
      <c r="L21" s="3284"/>
      <c r="M21" s="3285"/>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4">
      <c r="A22" s="219" t="s">
        <v>267</v>
      </c>
      <c r="B22" s="222">
        <f>B19+B20</f>
        <v>2</v>
      </c>
      <c r="C22" s="1974"/>
      <c r="D22" s="1975"/>
      <c r="E22" s="1974"/>
      <c r="F22" s="1974"/>
      <c r="G22" s="1974"/>
      <c r="H22" s="1974"/>
      <c r="I22" s="1974"/>
      <c r="J22" s="1974"/>
      <c r="K22" s="3286" t="s">
        <v>3380</v>
      </c>
      <c r="L22" s="3285"/>
      <c r="M22" s="3285"/>
      <c r="N22" s="3287" t="s">
        <v>3402</v>
      </c>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4">
      <c r="A23" s="221" t="s">
        <v>268</v>
      </c>
      <c r="B23" s="222">
        <f>B19+B21</f>
        <v>0</v>
      </c>
      <c r="C23" s="1974"/>
      <c r="D23" s="1975"/>
      <c r="E23" s="1974"/>
      <c r="F23" s="1974"/>
      <c r="G23" s="1974"/>
      <c r="H23" s="1974"/>
      <c r="I23" s="1974"/>
      <c r="J23" s="1974"/>
      <c r="K23" s="3286" t="s">
        <v>3381</v>
      </c>
      <c r="L23" s="3286" t="s">
        <v>3382</v>
      </c>
      <c r="M23" s="3286" t="s">
        <v>3383</v>
      </c>
      <c r="N23" s="3287" t="s">
        <v>3400</v>
      </c>
      <c r="O23" s="3281"/>
      <c r="P23" s="328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3" t="s">
        <v>269</v>
      </c>
      <c r="B24" s="224">
        <f>B20-B21</f>
        <v>2</v>
      </c>
      <c r="C24" s="1974"/>
      <c r="D24" s="1975"/>
      <c r="E24" s="1974"/>
      <c r="F24" s="1974"/>
      <c r="G24" s="1974"/>
      <c r="H24" s="1974"/>
      <c r="I24" s="1974"/>
      <c r="J24" s="1974"/>
      <c r="K24" s="3286">
        <v>1</v>
      </c>
      <c r="L24" s="3286" t="s">
        <v>3384</v>
      </c>
      <c r="M24" s="3286" t="s">
        <v>3385</v>
      </c>
      <c r="N24" s="3287" t="s">
        <v>3401</v>
      </c>
      <c r="O24" s="3281"/>
      <c r="P24" s="328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4.4" thickBot="1">
      <c r="A25" s="1203"/>
      <c r="B25" s="1200"/>
      <c r="C25" s="1974"/>
      <c r="D25" s="1975"/>
      <c r="E25" s="1974"/>
      <c r="F25" s="1974"/>
      <c r="G25" s="1974"/>
      <c r="H25" s="1974"/>
      <c r="I25" s="1974"/>
      <c r="J25" s="1974"/>
      <c r="K25" s="3286">
        <v>2</v>
      </c>
      <c r="L25" s="3286" t="s">
        <v>3386</v>
      </c>
      <c r="M25" s="3286" t="s">
        <v>3387</v>
      </c>
      <c r="N25" s="3281"/>
      <c r="O25" s="3281"/>
      <c r="P25" s="328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5" t="s">
        <v>271</v>
      </c>
      <c r="C26" s="1977" t="s">
        <v>272</v>
      </c>
      <c r="D26" s="1975"/>
      <c r="E26" s="1974"/>
      <c r="F26" s="1974"/>
      <c r="G26" s="1974"/>
      <c r="H26" s="1974"/>
      <c r="I26" s="1974"/>
      <c r="J26" s="1974"/>
      <c r="K26" s="3286">
        <v>3</v>
      </c>
      <c r="L26" s="3286" t="s">
        <v>3388</v>
      </c>
      <c r="M26" s="3286" t="s">
        <v>3389</v>
      </c>
      <c r="N26" s="3281"/>
      <c r="O26" s="3281"/>
      <c r="P26" s="328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11" customFormat="1" ht="28.8">
      <c r="A27" s="226" t="s">
        <v>2335</v>
      </c>
      <c r="B27" s="227">
        <v>180</v>
      </c>
      <c r="C27" s="2328" t="s">
        <v>2339</v>
      </c>
      <c r="D27" s="1978"/>
      <c r="E27" s="1976"/>
      <c r="F27" s="1976"/>
      <c r="G27" s="1974"/>
      <c r="H27" s="1974"/>
      <c r="I27" s="1974"/>
      <c r="J27" s="1974"/>
      <c r="K27" s="3286">
        <v>4</v>
      </c>
      <c r="L27" s="3286" t="s">
        <v>3390</v>
      </c>
      <c r="M27" s="3286" t="s">
        <v>3391</v>
      </c>
      <c r="N27" s="3281"/>
      <c r="O27" s="3281"/>
      <c r="P27" s="328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11" customFormat="1" ht="28.8">
      <c r="A28" s="228" t="s">
        <v>2336</v>
      </c>
      <c r="B28" s="229">
        <v>180</v>
      </c>
      <c r="C28" s="2327"/>
      <c r="D28" s="1978"/>
      <c r="E28" s="1976"/>
      <c r="F28" s="1976"/>
      <c r="G28" s="1974"/>
      <c r="H28" s="1974"/>
      <c r="I28" s="1974"/>
      <c r="J28" s="1974"/>
      <c r="K28" s="3286">
        <v>5</v>
      </c>
      <c r="L28" s="3286" t="s">
        <v>3392</v>
      </c>
      <c r="M28" s="3286" t="s">
        <v>3393</v>
      </c>
      <c r="N28" s="3281"/>
      <c r="O28" s="3281"/>
      <c r="P28" s="328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11" customFormat="1" ht="29.4" thickBot="1">
      <c r="A29" s="231" t="s">
        <v>2334</v>
      </c>
      <c r="B29" s="232"/>
      <c r="C29" s="1538" t="s">
        <v>2337</v>
      </c>
      <c r="D29" s="1978"/>
      <c r="E29" s="1976"/>
      <c r="F29" s="1976"/>
      <c r="G29" s="1974"/>
      <c r="H29" s="1974"/>
      <c r="I29" s="1974"/>
      <c r="J29" s="1974"/>
      <c r="K29" s="3286">
        <v>6</v>
      </c>
      <c r="L29" s="3286" t="s">
        <v>3394</v>
      </c>
      <c r="M29" s="3286" t="s">
        <v>3395</v>
      </c>
      <c r="N29" s="3281"/>
      <c r="O29" s="3281"/>
      <c r="P29" s="328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11" customFormat="1" ht="28.8">
      <c r="A30" s="235" t="s">
        <v>273</v>
      </c>
      <c r="B30" s="978">
        <v>130</v>
      </c>
      <c r="C30" s="2327"/>
      <c r="D30" s="1978"/>
      <c r="E30" s="1976"/>
      <c r="F30" s="1976"/>
      <c r="G30" s="1974"/>
      <c r="H30" s="1974"/>
      <c r="I30" s="1974"/>
      <c r="J30" s="1974"/>
      <c r="K30" s="3286">
        <v>7</v>
      </c>
      <c r="L30" s="3286" t="s">
        <v>3396</v>
      </c>
      <c r="M30" s="3286" t="s">
        <v>3397</v>
      </c>
      <c r="N30" s="3281"/>
      <c r="O30" s="3281"/>
      <c r="P30" s="328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11" customFormat="1" ht="28.8">
      <c r="A31" s="228" t="s">
        <v>274</v>
      </c>
      <c r="B31" s="230">
        <f>B30-B32</f>
        <v>60</v>
      </c>
      <c r="C31" s="2328"/>
      <c r="D31" s="1978"/>
      <c r="E31" s="1976"/>
      <c r="F31" s="1976"/>
      <c r="G31" s="1974"/>
      <c r="H31" s="1974"/>
      <c r="I31" s="1974"/>
      <c r="J31" s="1974"/>
      <c r="K31" s="3286">
        <v>8</v>
      </c>
      <c r="L31" s="3286" t="s">
        <v>3398</v>
      </c>
      <c r="M31" s="3286" t="s">
        <v>3399</v>
      </c>
      <c r="N31" s="3281"/>
      <c r="O31" s="3281"/>
      <c r="P31" s="328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11" customFormat="1" ht="29.4" thickBot="1">
      <c r="A32" s="237" t="s">
        <v>275</v>
      </c>
      <c r="B32" s="1373">
        <v>70</v>
      </c>
      <c r="C32" s="2327"/>
      <c r="D32" s="1975"/>
      <c r="E32" s="1974"/>
      <c r="F32" s="1974"/>
      <c r="G32" s="1974"/>
      <c r="H32" s="1974"/>
      <c r="I32" s="1974"/>
      <c r="J32" s="1974"/>
      <c r="K32" s="3282"/>
      <c r="L32" s="3282"/>
      <c r="M32" s="3282"/>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11" customFormat="1" ht="14.4">
      <c r="A33" s="226" t="s">
        <v>278</v>
      </c>
      <c r="B33" s="1374">
        <v>0.03</v>
      </c>
      <c r="C33" s="2326" t="s">
        <v>2890</v>
      </c>
      <c r="D33" s="1978"/>
      <c r="E33" s="1976"/>
      <c r="F33" s="1976"/>
      <c r="G33" s="1974"/>
      <c r="H33" s="1974"/>
      <c r="I33" s="1974"/>
      <c r="J33" s="1974"/>
      <c r="K33" s="3282"/>
      <c r="L33" s="3282"/>
      <c r="M33" s="3282"/>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4">
      <c r="A34" s="228" t="s">
        <v>279</v>
      </c>
      <c r="B34" s="233">
        <v>0.05</v>
      </c>
      <c r="C34" s="2326" t="s">
        <v>2891</v>
      </c>
      <c r="D34" s="1975" t="s">
        <v>871</v>
      </c>
      <c r="E34" s="1971"/>
      <c r="F34" s="1974"/>
      <c r="G34" s="1974"/>
      <c r="H34" s="1974"/>
      <c r="I34" s="1974"/>
      <c r="J34" s="1974"/>
      <c r="K34" s="3282"/>
      <c r="L34" s="3282"/>
      <c r="M34" s="3282"/>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4">
      <c r="A35" s="228" t="s">
        <v>276</v>
      </c>
      <c r="B35" s="229">
        <v>200</v>
      </c>
      <c r="C35" s="2326" t="s">
        <v>2892</v>
      </c>
      <c r="D35" s="1975"/>
      <c r="E35" s="1974"/>
      <c r="F35" s="1974"/>
      <c r="G35" s="1974"/>
      <c r="H35" s="1974"/>
      <c r="I35" s="1974"/>
      <c r="J35" s="1974"/>
      <c r="K35" s="3282"/>
      <c r="L35" s="3282"/>
      <c r="M35" s="3282"/>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1" t="s">
        <v>277</v>
      </c>
      <c r="B36" s="234">
        <v>1.4999999999999999E-2</v>
      </c>
      <c r="C36" s="2326" t="s">
        <v>2893</v>
      </c>
      <c r="D36" s="1972"/>
      <c r="E36" s="1198"/>
      <c r="F36" s="1974"/>
      <c r="G36" s="1974"/>
      <c r="H36" s="1974"/>
      <c r="I36" s="1974"/>
      <c r="J36" s="1974"/>
      <c r="K36" s="3282"/>
      <c r="L36" s="3282"/>
      <c r="M36" s="3282"/>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4">
      <c r="A37" s="235" t="s">
        <v>280</v>
      </c>
      <c r="B37" s="236">
        <v>0.02</v>
      </c>
      <c r="C37" s="2326" t="s">
        <v>2894</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4">
      <c r="A38" s="228" t="s">
        <v>281</v>
      </c>
      <c r="B38" s="233">
        <v>0.02</v>
      </c>
      <c r="C38" s="2326" t="s">
        <v>2894</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4">
      <c r="A39" s="2450" t="s">
        <v>2453</v>
      </c>
      <c r="B39" s="800">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2454</v>
      </c>
      <c r="B40" s="2442">
        <f ca="1">存贷款利率!E2</f>
        <v>4.7500000000000001E-2</v>
      </c>
      <c r="C40" s="2326" t="s">
        <v>2338</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4">
      <c r="A41" s="226" t="s">
        <v>282</v>
      </c>
      <c r="B41" s="238">
        <f>B42+B43</f>
        <v>5.5000000000000007E-2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4">
      <c r="A42" s="979" t="s">
        <v>283</v>
      </c>
      <c r="B42" s="240">
        <v>0.05</v>
      </c>
      <c r="C42" s="3046">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4">
      <c r="A43" s="979" t="s">
        <v>284</v>
      </c>
      <c r="B43" s="241">
        <f>B42*(B44+B45+B46)+B47</f>
        <v>5.000000000000001E-3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4">
      <c r="A44" s="239" t="s">
        <v>285</v>
      </c>
      <c r="B44" s="242">
        <v>0.05</v>
      </c>
      <c r="C44" s="2326" t="s">
        <v>2895</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4">
      <c r="A45" s="239" t="s">
        <v>286</v>
      </c>
      <c r="B45" s="240">
        <v>0.03</v>
      </c>
      <c r="C45" s="2328" t="s">
        <v>2896</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4">
      <c r="A46" s="239" t="s">
        <v>287</v>
      </c>
      <c r="B46" s="240">
        <v>0.02</v>
      </c>
      <c r="C46" s="2328" t="s">
        <v>2897</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3" t="s">
        <v>288</v>
      </c>
      <c r="B47" s="244"/>
      <c r="C47" s="3022" t="s">
        <v>2898</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4">
      <c r="A48" s="245" t="s">
        <v>289</v>
      </c>
      <c r="B48" s="246">
        <v>0.03</v>
      </c>
      <c r="C48" s="3023" t="s">
        <v>2899</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7" t="s">
        <v>290</v>
      </c>
      <c r="B49" s="240">
        <v>5.0000000000000001E-4</v>
      </c>
      <c r="C49" s="3023" t="s">
        <v>2900</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4">
      <c r="A50" s="247" t="s">
        <v>291</v>
      </c>
      <c r="B50" s="248">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1" t="s">
        <v>292</v>
      </c>
      <c r="B51" s="249">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4">
      <c r="A52" s="247" t="s">
        <v>293</v>
      </c>
      <c r="B52" s="250">
        <f>SUMIF(A54:A63,B53,B54:B63)</f>
        <v>3</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8.8">
      <c r="A53" s="228" t="s">
        <v>294</v>
      </c>
      <c r="B53" s="251" t="s">
        <v>1409</v>
      </c>
      <c r="C53" s="3024" t="s">
        <v>2901</v>
      </c>
      <c r="D53" s="3025" t="s">
        <v>2902</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4">
      <c r="A54" s="3027" t="s">
        <v>2903</v>
      </c>
      <c r="B54" s="186">
        <v>10</v>
      </c>
      <c r="C54" s="1976">
        <v>30</v>
      </c>
      <c r="D54" s="3026"/>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4">
      <c r="A55" s="3027" t="s">
        <v>2904</v>
      </c>
      <c r="B55" s="186">
        <v>8</v>
      </c>
      <c r="C55" s="1976">
        <v>24</v>
      </c>
      <c r="D55" s="3026"/>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4">
      <c r="A56" s="3027" t="s">
        <v>2905</v>
      </c>
      <c r="B56" s="186">
        <v>6</v>
      </c>
      <c r="C56" s="1976">
        <v>18</v>
      </c>
      <c r="D56" s="3026"/>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4">
      <c r="A57" s="3027" t="s">
        <v>2906</v>
      </c>
      <c r="B57" s="186">
        <v>5</v>
      </c>
      <c r="C57" s="1976">
        <v>12</v>
      </c>
      <c r="D57" s="3026"/>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4">
      <c r="A58" s="3027" t="s">
        <v>2907</v>
      </c>
      <c r="B58" s="186">
        <v>4</v>
      </c>
      <c r="C58" s="1976">
        <v>3</v>
      </c>
      <c r="D58" s="3026"/>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4">
      <c r="A59" s="3027" t="s">
        <v>2908</v>
      </c>
      <c r="B59" s="186">
        <v>3</v>
      </c>
      <c r="C59" s="1976">
        <v>1.5</v>
      </c>
      <c r="D59" s="3026"/>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4">
      <c r="A60" s="3027" t="s">
        <v>2909</v>
      </c>
      <c r="B60" s="186">
        <v>2</v>
      </c>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4">
      <c r="A61" s="3027" t="s">
        <v>2910</v>
      </c>
      <c r="B61" s="186"/>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4">
      <c r="A62" s="3027" t="s">
        <v>2911</v>
      </c>
      <c r="B62" s="186"/>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8" t="s">
        <v>2912</v>
      </c>
      <c r="B63" s="252"/>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3"/>
      <c r="D64" s="1981"/>
      <c r="K64" s="57"/>
      <c r="L64" s="57"/>
    </row>
    <row r="65" spans="1:12" s="1980" customFormat="1">
      <c r="A65" s="253"/>
      <c r="D65" s="1981"/>
      <c r="K65" s="57"/>
      <c r="L65" s="57"/>
    </row>
    <row r="66" spans="1:12" s="1980" customFormat="1">
      <c r="A66" s="253"/>
      <c r="D66" s="1981"/>
      <c r="K66" s="57"/>
      <c r="L66" s="57"/>
    </row>
    <row r="67" spans="1:12" s="1980" customFormat="1">
      <c r="A67" s="253"/>
      <c r="D67" s="1981"/>
      <c r="K67" s="57"/>
      <c r="L67" s="57"/>
    </row>
    <row r="68" spans="1:12" s="1980" customFormat="1">
      <c r="A68" s="253"/>
      <c r="D68" s="1981"/>
      <c r="K68" s="57"/>
      <c r="L68" s="57"/>
    </row>
    <row r="69" spans="1:12" s="1980" customFormat="1">
      <c r="A69" s="253"/>
      <c r="D69" s="1981"/>
      <c r="K69" s="57"/>
      <c r="L69" s="57"/>
    </row>
    <row r="70" spans="1:12" s="1980" customFormat="1">
      <c r="A70" s="253"/>
      <c r="D70" s="1981"/>
      <c r="K70" s="57"/>
      <c r="L70" s="57"/>
    </row>
    <row r="71" spans="1:12" s="1980" customFormat="1">
      <c r="A71" s="253"/>
      <c r="D71" s="1981"/>
      <c r="K71" s="57"/>
      <c r="L71" s="57"/>
    </row>
    <row r="72" spans="1:12" s="1980" customFormat="1">
      <c r="A72" s="253"/>
      <c r="D72" s="1981"/>
      <c r="K72" s="57"/>
      <c r="L72" s="57"/>
    </row>
    <row r="73" spans="1:12" s="1980" customFormat="1">
      <c r="A73" s="253"/>
      <c r="D73" s="1981"/>
      <c r="K73" s="57"/>
      <c r="L73" s="57"/>
    </row>
    <row r="74" spans="1:12" s="1980" customFormat="1">
      <c r="A74" s="253"/>
      <c r="D74" s="1981"/>
      <c r="K74" s="57"/>
      <c r="L74" s="57"/>
    </row>
    <row r="75" spans="1:12" s="1980" customFormat="1">
      <c r="A75" s="253"/>
      <c r="D75" s="1981"/>
      <c r="K75" s="57"/>
      <c r="L75" s="57"/>
    </row>
    <row r="76" spans="1:12" s="1980" customFormat="1">
      <c r="A76" s="253"/>
      <c r="D76" s="1981"/>
      <c r="K76" s="57"/>
      <c r="L76" s="57"/>
    </row>
    <row r="77" spans="1:12" s="1980" customFormat="1">
      <c r="A77" s="253"/>
      <c r="D77" s="1981"/>
      <c r="K77" s="57"/>
      <c r="L77" s="57"/>
    </row>
    <row r="78" spans="1:12" s="1980" customFormat="1">
      <c r="A78" s="253"/>
      <c r="D78" s="1981"/>
      <c r="K78" s="57"/>
      <c r="L78" s="57"/>
    </row>
    <row r="79" spans="1:12" s="1980" customFormat="1">
      <c r="A79" s="253"/>
      <c r="D79" s="1981"/>
      <c r="K79" s="57"/>
      <c r="L79" s="57"/>
    </row>
    <row r="80" spans="1:12" s="1980" customFormat="1">
      <c r="A80" s="253"/>
      <c r="D80" s="1981"/>
      <c r="K80" s="57"/>
      <c r="L80" s="57"/>
    </row>
    <row r="81" spans="1:12" s="1980" customFormat="1">
      <c r="A81" s="253"/>
      <c r="D81" s="1981"/>
      <c r="K81" s="57"/>
      <c r="L81" s="57"/>
    </row>
    <row r="82" spans="1:12" s="1980" customFormat="1">
      <c r="A82" s="253"/>
      <c r="D82" s="1981"/>
      <c r="K82" s="57"/>
      <c r="L82" s="57"/>
    </row>
    <row r="83" spans="1:12" s="1980" customFormat="1">
      <c r="A83" s="253"/>
      <c r="D83" s="1981"/>
      <c r="K83" s="57"/>
      <c r="L83" s="57"/>
    </row>
    <row r="84" spans="1:12" s="1980" customFormat="1">
      <c r="A84" s="253"/>
      <c r="D84" s="1981"/>
      <c r="K84" s="57"/>
      <c r="L84" s="57"/>
    </row>
    <row r="85" spans="1:12" s="1980" customFormat="1">
      <c r="A85" s="253"/>
      <c r="D85" s="1981"/>
      <c r="K85" s="57"/>
      <c r="L85" s="57"/>
    </row>
    <row r="86" spans="1:12" s="1980" customFormat="1">
      <c r="A86" s="253"/>
      <c r="D86" s="1981"/>
      <c r="K86" s="57"/>
      <c r="L86" s="57"/>
    </row>
    <row r="87" spans="1:12" s="1980" customFormat="1">
      <c r="A87" s="253"/>
      <c r="D87" s="1981"/>
      <c r="K87" s="57"/>
      <c r="L87" s="57"/>
    </row>
    <row r="88" spans="1:12" s="1980" customFormat="1">
      <c r="A88" s="253"/>
      <c r="D88" s="1981"/>
      <c r="K88" s="57"/>
      <c r="L88" s="57"/>
    </row>
    <row r="89" spans="1:12" s="1980" customFormat="1">
      <c r="A89" s="253"/>
      <c r="D89" s="1981"/>
      <c r="K89" s="57"/>
      <c r="L89" s="57"/>
    </row>
    <row r="90" spans="1:12" s="1980" customFormat="1">
      <c r="A90" s="253"/>
      <c r="D90" s="1981"/>
      <c r="K90" s="57"/>
      <c r="L90" s="57"/>
    </row>
    <row r="91" spans="1:12" s="1980" customFormat="1">
      <c r="A91" s="253"/>
      <c r="D91" s="1981"/>
      <c r="K91" s="57"/>
      <c r="L91" s="57"/>
    </row>
    <row r="92" spans="1:12" s="1980" customFormat="1">
      <c r="A92" s="253"/>
      <c r="D92" s="1981"/>
      <c r="K92" s="57"/>
      <c r="L92" s="57"/>
    </row>
    <row r="93" spans="1:12" s="1980" customFormat="1">
      <c r="A93" s="253"/>
      <c r="D93" s="1981"/>
      <c r="K93" s="57"/>
      <c r="L93" s="57"/>
    </row>
    <row r="94" spans="1:12" s="1980" customFormat="1">
      <c r="A94" s="253"/>
      <c r="D94" s="1981"/>
      <c r="K94" s="57"/>
      <c r="L94" s="57"/>
    </row>
    <row r="95" spans="1:12" s="1980" customFormat="1">
      <c r="A95" s="253"/>
      <c r="D95" s="1981"/>
      <c r="K95" s="57"/>
      <c r="L95" s="57"/>
    </row>
    <row r="96" spans="1:12" s="1980" customFormat="1">
      <c r="A96" s="253"/>
      <c r="D96" s="1981"/>
      <c r="K96" s="57"/>
      <c r="L96" s="57"/>
    </row>
    <row r="97" spans="1:12" s="1980" customFormat="1">
      <c r="A97" s="253"/>
      <c r="D97" s="1981"/>
      <c r="K97" s="57"/>
      <c r="L97" s="57"/>
    </row>
    <row r="98" spans="1:12" s="1980" customFormat="1">
      <c r="A98" s="253"/>
      <c r="D98" s="1981"/>
      <c r="K98" s="57"/>
      <c r="L98" s="57"/>
    </row>
    <row r="99" spans="1:12" s="1980" customFormat="1">
      <c r="A99" s="253"/>
      <c r="D99" s="1981"/>
      <c r="K99" s="57"/>
      <c r="L99" s="57"/>
    </row>
    <row r="100" spans="1:12" s="1980" customFormat="1">
      <c r="A100" s="253"/>
      <c r="D100" s="1981"/>
      <c r="K100" s="57"/>
      <c r="L100" s="57"/>
    </row>
    <row r="101" spans="1:12" s="1980" customFormat="1">
      <c r="A101" s="253"/>
      <c r="D101" s="1981"/>
      <c r="K101" s="57"/>
      <c r="L101" s="57"/>
    </row>
    <row r="102" spans="1:12" s="1980" customFormat="1">
      <c r="A102" s="253"/>
      <c r="D102" s="1981"/>
      <c r="K102" s="57"/>
      <c r="L102" s="57"/>
    </row>
    <row r="103" spans="1:12" s="1980" customFormat="1">
      <c r="A103" s="253"/>
      <c r="D103" s="1981"/>
      <c r="K103" s="57"/>
      <c r="L103" s="57"/>
    </row>
    <row r="104" spans="1:12" s="1980" customFormat="1">
      <c r="A104" s="253"/>
      <c r="D104" s="1981"/>
      <c r="K104" s="57"/>
      <c r="L104" s="57"/>
    </row>
    <row r="105" spans="1:12" s="1980" customFormat="1">
      <c r="A105" s="253"/>
      <c r="D105" s="1981"/>
      <c r="K105" s="57"/>
      <c r="L105" s="57"/>
    </row>
    <row r="106" spans="1:12" s="1980" customFormat="1">
      <c r="A106" s="253"/>
      <c r="D106" s="1981"/>
      <c r="K106" s="57"/>
      <c r="L106" s="57"/>
    </row>
    <row r="107" spans="1:12" s="1980" customFormat="1">
      <c r="A107" s="253"/>
      <c r="D107" s="1981"/>
      <c r="K107" s="57"/>
      <c r="L107" s="57"/>
    </row>
    <row r="108" spans="1:12" s="1980" customFormat="1">
      <c r="A108" s="253"/>
      <c r="D108" s="1981"/>
      <c r="K108" s="57"/>
      <c r="L108" s="57"/>
    </row>
    <row r="109" spans="1:12" s="1980" customFormat="1">
      <c r="A109" s="253"/>
      <c r="D109" s="1981"/>
      <c r="K109" s="57"/>
      <c r="L109" s="57"/>
    </row>
    <row r="110" spans="1:12" s="1980" customFormat="1">
      <c r="A110" s="253"/>
      <c r="D110" s="1981"/>
      <c r="K110" s="57"/>
      <c r="L110" s="57"/>
    </row>
    <row r="111" spans="1:12" s="1980" customFormat="1">
      <c r="A111" s="253"/>
      <c r="D111" s="1981"/>
      <c r="K111" s="57"/>
      <c r="L111" s="57"/>
    </row>
    <row r="112" spans="1:12" s="1980" customFormat="1">
      <c r="A112" s="253"/>
      <c r="D112" s="1981"/>
      <c r="K112" s="57"/>
      <c r="L112" s="57"/>
    </row>
    <row r="113" spans="1:12" s="1980" customFormat="1">
      <c r="A113" s="253"/>
      <c r="D113" s="1981"/>
      <c r="K113" s="57"/>
      <c r="L113" s="57"/>
    </row>
    <row r="114" spans="1:12" s="1980" customFormat="1">
      <c r="A114" s="253"/>
      <c r="D114" s="1981"/>
      <c r="K114" s="57"/>
      <c r="L114" s="57"/>
    </row>
    <row r="115" spans="1:12" s="1980" customFormat="1">
      <c r="A115" s="253"/>
      <c r="D115" s="1981"/>
      <c r="K115" s="57"/>
      <c r="L115" s="57"/>
    </row>
    <row r="116" spans="1:12" s="1980" customFormat="1">
      <c r="A116" s="253"/>
      <c r="D116" s="1981"/>
      <c r="K116" s="57"/>
      <c r="L116" s="57"/>
    </row>
    <row r="117" spans="1:12" s="1980" customFormat="1">
      <c r="A117" s="253"/>
      <c r="D117" s="1981"/>
      <c r="K117" s="57"/>
      <c r="L117" s="57"/>
    </row>
    <row r="118" spans="1:12" s="1980" customFormat="1">
      <c r="A118" s="253"/>
      <c r="D118" s="1981"/>
      <c r="K118" s="57"/>
      <c r="L118" s="57"/>
    </row>
    <row r="119" spans="1:12" s="1980" customFormat="1">
      <c r="A119" s="253"/>
      <c r="D119" s="1981"/>
      <c r="K119" s="57"/>
      <c r="L119" s="57"/>
    </row>
    <row r="120" spans="1:12" s="1980" customFormat="1">
      <c r="A120" s="253"/>
      <c r="D120" s="1981"/>
      <c r="K120" s="57"/>
      <c r="L120" s="57"/>
    </row>
    <row r="121" spans="1:12" s="1980" customFormat="1">
      <c r="A121" s="253"/>
      <c r="D121" s="1981"/>
      <c r="K121" s="57"/>
      <c r="L121" s="57"/>
    </row>
    <row r="122" spans="1:12" s="1980" customFormat="1">
      <c r="A122" s="253"/>
      <c r="D122" s="1981"/>
      <c r="K122" s="57"/>
      <c r="L122" s="57"/>
    </row>
    <row r="123" spans="1:12" s="1980" customFormat="1">
      <c r="A123" s="253"/>
      <c r="D123" s="1981"/>
      <c r="K123" s="57"/>
      <c r="L123" s="57"/>
    </row>
    <row r="124" spans="1:12" s="1980" customFormat="1">
      <c r="A124" s="253"/>
      <c r="D124" s="1981"/>
      <c r="K124" s="57"/>
      <c r="L124" s="57"/>
    </row>
    <row r="125" spans="1:12" s="1980" customFormat="1">
      <c r="A125" s="253"/>
      <c r="D125" s="1981"/>
      <c r="K125" s="57"/>
      <c r="L125" s="57"/>
    </row>
    <row r="126" spans="1:12" s="1980" customFormat="1">
      <c r="A126" s="253"/>
      <c r="D126" s="1981"/>
      <c r="K126" s="57"/>
      <c r="L126" s="57"/>
    </row>
    <row r="127" spans="1:12" s="1980" customFormat="1">
      <c r="A127" s="253"/>
      <c r="D127" s="1981"/>
      <c r="K127" s="57"/>
      <c r="L127" s="57"/>
    </row>
    <row r="128" spans="1:12" s="1980" customFormat="1">
      <c r="A128" s="253"/>
      <c r="D128" s="1981"/>
      <c r="K128" s="57"/>
      <c r="L128" s="57"/>
    </row>
    <row r="129" spans="1:12" s="1980" customFormat="1">
      <c r="A129" s="253"/>
      <c r="D129" s="1981"/>
      <c r="K129" s="57"/>
      <c r="L129" s="57"/>
    </row>
    <row r="130" spans="1:12" s="1980" customFormat="1">
      <c r="A130" s="253"/>
      <c r="D130" s="1981"/>
      <c r="K130" s="57"/>
      <c r="L130" s="57"/>
    </row>
    <row r="131" spans="1:12" s="1980" customFormat="1">
      <c r="A131" s="253"/>
      <c r="D131" s="1981"/>
      <c r="K131" s="57"/>
      <c r="L131" s="57"/>
    </row>
    <row r="132" spans="1:12" s="1980" customFormat="1">
      <c r="A132" s="253"/>
      <c r="D132" s="1981"/>
      <c r="K132" s="57"/>
      <c r="L132" s="57"/>
    </row>
    <row r="133" spans="1:12" s="1980" customFormat="1">
      <c r="A133" s="253"/>
      <c r="D133" s="1981"/>
      <c r="K133" s="57"/>
      <c r="L133" s="57"/>
    </row>
    <row r="134" spans="1:12" s="1980" customFormat="1">
      <c r="A134" s="253"/>
      <c r="D134" s="1981"/>
      <c r="K134" s="57"/>
      <c r="L134" s="57"/>
    </row>
    <row r="135" spans="1:12" s="1980" customFormat="1">
      <c r="A135" s="253"/>
      <c r="D135" s="1981"/>
      <c r="K135" s="57"/>
      <c r="L135" s="57"/>
    </row>
    <row r="136" spans="1:12" s="1980" customFormat="1">
      <c r="A136" s="253"/>
      <c r="D136" s="1981"/>
      <c r="K136" s="57"/>
      <c r="L136" s="57"/>
    </row>
    <row r="137" spans="1:12" s="1980" customFormat="1">
      <c r="A137" s="253"/>
      <c r="D137" s="1981"/>
      <c r="K137" s="57"/>
      <c r="L137" s="57"/>
    </row>
    <row r="138" spans="1:12" s="1980" customFormat="1">
      <c r="A138" s="253"/>
      <c r="D138" s="1981"/>
      <c r="K138" s="57"/>
      <c r="L138" s="57"/>
    </row>
    <row r="139" spans="1:12" s="1980" customFormat="1">
      <c r="A139" s="253"/>
      <c r="D139" s="1981"/>
      <c r="K139" s="57"/>
      <c r="L139" s="57"/>
    </row>
    <row r="140" spans="1:12" s="1980" customFormat="1">
      <c r="A140" s="253"/>
      <c r="D140" s="1981"/>
      <c r="K140" s="57"/>
      <c r="L140" s="57"/>
    </row>
    <row r="141" spans="1:12" s="1980" customFormat="1">
      <c r="A141" s="253"/>
      <c r="D141" s="1981"/>
      <c r="K141" s="57"/>
      <c r="L141" s="57"/>
    </row>
    <row r="142" spans="1:12" s="1980" customFormat="1">
      <c r="A142" s="253"/>
      <c r="D142" s="1981"/>
      <c r="K142" s="57"/>
      <c r="L142" s="57"/>
    </row>
    <row r="143" spans="1:12" s="1980" customFormat="1">
      <c r="A143" s="253"/>
      <c r="D143" s="1981"/>
      <c r="K143" s="57"/>
      <c r="L143" s="57"/>
    </row>
    <row r="144" spans="1:12" s="1980" customFormat="1">
      <c r="A144" s="253"/>
      <c r="D144" s="1981"/>
      <c r="K144" s="57"/>
      <c r="L144" s="57"/>
    </row>
    <row r="145" spans="1:12" s="1980" customFormat="1">
      <c r="A145" s="253"/>
      <c r="D145" s="1981"/>
      <c r="K145" s="57"/>
      <c r="L145" s="57"/>
    </row>
    <row r="146" spans="1:12" s="1980" customFormat="1">
      <c r="A146" s="253"/>
      <c r="D146" s="1981"/>
      <c r="K146" s="57"/>
      <c r="L146" s="57"/>
    </row>
    <row r="147" spans="1:12" s="1980" customFormat="1">
      <c r="A147" s="253"/>
      <c r="D147" s="1981"/>
      <c r="K147" s="57"/>
      <c r="L147" s="57"/>
    </row>
    <row r="148" spans="1:12" s="1980" customFormat="1">
      <c r="A148" s="253"/>
      <c r="D148" s="1981"/>
      <c r="K148" s="57"/>
      <c r="L148" s="57"/>
    </row>
    <row r="149" spans="1:12" s="1980" customFormat="1">
      <c r="A149" s="253"/>
      <c r="D149" s="1981"/>
      <c r="K149" s="57"/>
      <c r="L149" s="57"/>
    </row>
    <row r="150" spans="1:12" s="1980" customFormat="1">
      <c r="A150" s="253"/>
      <c r="D150" s="1981"/>
      <c r="K150" s="57"/>
      <c r="L150" s="57"/>
    </row>
    <row r="151" spans="1:12" s="1980" customFormat="1">
      <c r="A151" s="253"/>
      <c r="D151" s="1981"/>
      <c r="K151" s="57"/>
      <c r="L151" s="57"/>
    </row>
    <row r="152" spans="1:12" s="1980" customFormat="1">
      <c r="A152" s="253"/>
      <c r="D152" s="1981"/>
      <c r="K152" s="57"/>
      <c r="L152" s="57"/>
    </row>
    <row r="153" spans="1:12" s="1980" customFormat="1">
      <c r="A153" s="253"/>
      <c r="D153" s="1981"/>
      <c r="K153" s="57"/>
      <c r="L153" s="57"/>
    </row>
    <row r="154" spans="1:12" s="1980" customFormat="1">
      <c r="A154" s="253"/>
      <c r="D154" s="1981"/>
      <c r="K154" s="57"/>
      <c r="L154" s="57"/>
    </row>
    <row r="155" spans="1:12" s="1980" customFormat="1">
      <c r="A155" s="253"/>
      <c r="D155" s="1981"/>
      <c r="K155" s="57"/>
      <c r="L155" s="57"/>
    </row>
    <row r="156" spans="1:12" s="1980" customFormat="1">
      <c r="A156" s="253"/>
      <c r="D156" s="1981"/>
      <c r="K156" s="57"/>
      <c r="L156" s="57"/>
    </row>
    <row r="157" spans="1:12" s="1980" customFormat="1">
      <c r="A157" s="253"/>
      <c r="D157" s="1981"/>
      <c r="K157" s="57"/>
      <c r="L157" s="57"/>
    </row>
    <row r="158" spans="1:12" s="1980" customFormat="1">
      <c r="A158" s="253"/>
      <c r="D158" s="1981"/>
      <c r="K158" s="57"/>
      <c r="L158" s="57"/>
    </row>
    <row r="159" spans="1:12" s="1980" customFormat="1">
      <c r="A159" s="253"/>
      <c r="D159" s="1981"/>
      <c r="K159" s="57"/>
      <c r="L159" s="57"/>
    </row>
    <row r="160" spans="1:12" s="1980" customFormat="1">
      <c r="A160" s="253"/>
      <c r="D160" s="1981"/>
      <c r="K160" s="57"/>
      <c r="L160" s="57"/>
    </row>
    <row r="161" spans="1:12" s="1980" customFormat="1">
      <c r="A161" s="253"/>
      <c r="D161" s="1981"/>
      <c r="K161" s="57"/>
      <c r="L161" s="57"/>
    </row>
    <row r="162" spans="1:12" s="1980" customFormat="1">
      <c r="A162" s="253"/>
      <c r="D162" s="1981"/>
      <c r="K162" s="57"/>
      <c r="L162" s="57"/>
    </row>
    <row r="163" spans="1:12" s="1980" customFormat="1">
      <c r="A163" s="253"/>
      <c r="D163" s="1981"/>
      <c r="K163" s="57"/>
      <c r="L163" s="57"/>
    </row>
    <row r="164" spans="1:12" s="1980" customFormat="1">
      <c r="A164" s="253"/>
      <c r="D164" s="1981"/>
      <c r="K164" s="57"/>
      <c r="L164" s="57"/>
    </row>
    <row r="165" spans="1:12" s="1980" customFormat="1">
      <c r="A165" s="253"/>
      <c r="D165" s="1981"/>
      <c r="K165" s="57"/>
      <c r="L165" s="57"/>
    </row>
    <row r="166" spans="1:12" s="1980" customFormat="1">
      <c r="A166" s="253"/>
      <c r="D166" s="1981"/>
      <c r="K166" s="57"/>
      <c r="L166" s="57"/>
    </row>
    <row r="167" spans="1:12" s="1980" customFormat="1">
      <c r="A167" s="253"/>
      <c r="D167" s="1981"/>
      <c r="K167" s="57"/>
      <c r="L167" s="57"/>
    </row>
    <row r="168" spans="1:12" s="1980" customFormat="1">
      <c r="A168" s="253"/>
      <c r="D168" s="1981"/>
      <c r="K168" s="57"/>
      <c r="L168" s="57"/>
    </row>
    <row r="169" spans="1:12" s="1980" customFormat="1">
      <c r="A169" s="253"/>
      <c r="D169" s="1981"/>
      <c r="K169" s="57"/>
      <c r="L169" s="57"/>
    </row>
    <row r="170" spans="1:12" s="1980" customFormat="1">
      <c r="A170" s="253"/>
      <c r="D170" s="1981"/>
      <c r="K170" s="57"/>
      <c r="L170" s="57"/>
    </row>
    <row r="171" spans="1:12" s="1980" customFormat="1">
      <c r="A171" s="253"/>
      <c r="D171" s="1981"/>
      <c r="K171" s="57"/>
      <c r="L171" s="57"/>
    </row>
    <row r="172" spans="1:12" s="1980" customFormat="1">
      <c r="A172" s="253"/>
      <c r="D172" s="1981"/>
      <c r="K172" s="57"/>
      <c r="L172" s="57"/>
    </row>
    <row r="173" spans="1:12" s="1980" customFormat="1">
      <c r="A173" s="253"/>
      <c r="D173" s="1981"/>
      <c r="K173" s="57"/>
      <c r="L173" s="57"/>
    </row>
    <row r="174" spans="1:12" s="1980" customFormat="1">
      <c r="A174" s="253"/>
      <c r="D174" s="1981"/>
      <c r="K174" s="57"/>
      <c r="L174" s="57"/>
    </row>
    <row r="175" spans="1:12" s="1980" customFormat="1">
      <c r="A175" s="253"/>
      <c r="D175" s="1981"/>
      <c r="K175" s="57"/>
      <c r="L175" s="57"/>
    </row>
    <row r="176" spans="1:12" s="1980" customFormat="1">
      <c r="A176" s="253"/>
      <c r="D176" s="1981"/>
      <c r="K176" s="57"/>
      <c r="L176" s="57"/>
    </row>
    <row r="177" spans="1:12" s="1980" customFormat="1">
      <c r="A177" s="253"/>
      <c r="D177" s="1981"/>
      <c r="K177" s="57"/>
      <c r="L177" s="57"/>
    </row>
    <row r="178" spans="1:12" s="1980" customFormat="1">
      <c r="A178" s="253"/>
      <c r="D178" s="1981"/>
      <c r="K178" s="57"/>
      <c r="L178" s="57"/>
    </row>
    <row r="179" spans="1:12" s="1980" customFormat="1">
      <c r="A179" s="253"/>
      <c r="D179" s="1981"/>
      <c r="K179" s="57"/>
      <c r="L179" s="57"/>
    </row>
    <row r="180" spans="1:12" s="1980" customFormat="1">
      <c r="A180" s="253"/>
      <c r="D180" s="1981"/>
      <c r="K180" s="57"/>
      <c r="L180" s="57"/>
    </row>
    <row r="181" spans="1:12" s="1980" customFormat="1">
      <c r="A181" s="253"/>
      <c r="D181" s="1981"/>
      <c r="K181" s="57"/>
      <c r="L181" s="57"/>
    </row>
    <row r="182" spans="1:12" s="1980" customFormat="1">
      <c r="A182" s="253"/>
      <c r="D182" s="1981"/>
      <c r="K182" s="57"/>
      <c r="L182" s="57"/>
    </row>
    <row r="183" spans="1:12" s="1980" customFormat="1">
      <c r="A183" s="253"/>
      <c r="D183" s="1981"/>
      <c r="K183" s="57"/>
      <c r="L183" s="57"/>
    </row>
    <row r="184" spans="1:12" s="1980" customFormat="1">
      <c r="A184" s="253"/>
      <c r="D184" s="1981"/>
      <c r="K184" s="57"/>
      <c r="L184" s="57"/>
    </row>
    <row r="185" spans="1:12" s="1980" customFormat="1">
      <c r="A185" s="253"/>
      <c r="D185" s="1981"/>
      <c r="K185" s="57"/>
      <c r="L185" s="57"/>
    </row>
    <row r="186" spans="1:12" s="1980" customFormat="1">
      <c r="A186" s="253"/>
      <c r="D186" s="1981"/>
      <c r="K186" s="57"/>
      <c r="L186" s="57"/>
    </row>
    <row r="187" spans="1:12" s="1980" customFormat="1">
      <c r="A187" s="253"/>
      <c r="D187" s="1981"/>
      <c r="K187" s="57"/>
      <c r="L187" s="57"/>
    </row>
    <row r="188" spans="1:12" s="1980" customFormat="1">
      <c r="A188" s="253"/>
      <c r="D188" s="1981"/>
      <c r="K188" s="57"/>
      <c r="L188" s="57"/>
    </row>
    <row r="189" spans="1:12" s="1980" customFormat="1">
      <c r="A189" s="253"/>
      <c r="D189" s="1981"/>
      <c r="K189" s="57"/>
      <c r="L189" s="57"/>
    </row>
    <row r="190" spans="1:12" s="1980" customFormat="1">
      <c r="A190" s="253"/>
      <c r="D190" s="1981"/>
      <c r="K190" s="57"/>
      <c r="L190" s="57"/>
    </row>
    <row r="191" spans="1:12" s="1980" customFormat="1">
      <c r="A191" s="253"/>
      <c r="D191" s="1981"/>
      <c r="K191" s="57"/>
      <c r="L191" s="57"/>
    </row>
    <row r="192" spans="1:12" s="1980" customFormat="1">
      <c r="A192" s="253"/>
      <c r="D192" s="1981"/>
      <c r="K192" s="57"/>
      <c r="L192" s="57"/>
    </row>
  </sheetData>
  <sheetProtection password="C66D" sheet="1" objects="1" scenarios="1" formatCells="0" formatColumns="0" formatRows="0"/>
  <dataConsolidate/>
  <phoneticPr fontId="8"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80" zoomScaleNormal="80" zoomScaleSheetLayoutView="80" workbookViewId="0">
      <pane xSplit="1" ySplit="2" topLeftCell="B6" activePane="bottomRight" state="frozen"/>
      <selection activeCell="E29" sqref="E29"/>
      <selection pane="topRight" activeCell="E29" sqref="E29"/>
      <selection pane="bottomLeft" activeCell="E29" sqref="E29"/>
      <selection pane="bottomRight" activeCell="I14" sqref="I14"/>
    </sheetView>
  </sheetViews>
  <sheetFormatPr defaultColWidth="9" defaultRowHeight="14.4"/>
  <cols>
    <col min="1" max="1" width="9.44140625" style="1990" customWidth="1"/>
    <col min="2" max="2" width="24.44140625" style="2005" customWidth="1"/>
    <col min="3" max="3" width="24.44140625" style="2007" customWidth="1"/>
    <col min="4" max="4" width="2.6640625" style="2007" customWidth="1"/>
    <col min="5" max="5" width="5.88671875" style="2007" customWidth="1"/>
    <col min="6" max="6" width="27" style="2005" customWidth="1"/>
    <col min="7" max="7" width="27" style="2006" customWidth="1"/>
    <col min="8" max="8" width="11.88671875" style="2005" customWidth="1"/>
    <col min="9" max="9" width="16.77734375" style="2006" customWidth="1"/>
    <col min="10" max="10" width="2.6640625" style="2007" customWidth="1"/>
    <col min="11" max="11" width="11.88671875" style="2005" customWidth="1"/>
    <col min="12" max="12" width="16.77734375" style="2006" customWidth="1"/>
    <col min="13" max="13" width="2.6640625" style="2007" customWidth="1"/>
    <col min="14" max="14" width="11.88671875" style="2005" customWidth="1"/>
    <col min="15" max="15" width="16.77734375" style="2006" customWidth="1"/>
    <col min="16" max="16" width="2.6640625" style="2007" customWidth="1"/>
    <col min="17" max="17" width="11.88671875" style="2005" customWidth="1"/>
    <col min="18" max="18" width="16.77734375" style="2008" customWidth="1"/>
    <col min="19" max="16384" width="9" style="1990"/>
  </cols>
  <sheetData>
    <row r="1" spans="1:18" s="1989" customFormat="1" ht="18" thickBot="1">
      <c r="A1" s="3415" t="s">
        <v>1663</v>
      </c>
      <c r="B1" s="3416"/>
      <c r="C1" s="3416"/>
      <c r="D1" s="3416"/>
      <c r="E1" s="3416"/>
      <c r="F1" s="3416"/>
      <c r="G1" s="3416"/>
      <c r="H1" s="1984"/>
      <c r="I1" s="1985"/>
      <c r="J1" s="1986"/>
      <c r="K1" s="1984"/>
      <c r="L1" s="1985"/>
      <c r="M1" s="1986"/>
      <c r="N1" s="1984"/>
      <c r="O1" s="1985"/>
      <c r="P1" s="1986"/>
      <c r="Q1" s="1987"/>
      <c r="R1" s="1988"/>
    </row>
    <row r="2" spans="1:18" ht="15" thickBot="1">
      <c r="A2" s="1217"/>
      <c r="B2" s="1218"/>
      <c r="C2" s="1219" t="s">
        <v>1664</v>
      </c>
      <c r="D2" s="1220"/>
      <c r="E2" s="1221"/>
      <c r="F2" s="1222"/>
      <c r="G2" s="1219" t="s">
        <v>1665</v>
      </c>
      <c r="H2" s="1990"/>
      <c r="I2" s="1990"/>
      <c r="J2" s="1990"/>
      <c r="K2" s="1990"/>
      <c r="L2" s="1990"/>
      <c r="M2" s="1990"/>
      <c r="N2" s="1990"/>
      <c r="O2" s="1990"/>
      <c r="P2" s="1990"/>
      <c r="Q2" s="1990"/>
      <c r="R2" s="1990"/>
    </row>
    <row r="3" spans="1:18" ht="43.2">
      <c r="A3" s="1223" t="s">
        <v>1666</v>
      </c>
      <c r="B3" s="1224" t="s">
        <v>1653</v>
      </c>
      <c r="C3" s="3187" t="s">
        <v>3135</v>
      </c>
      <c r="D3" s="1991"/>
      <c r="E3" s="1225" t="s">
        <v>1666</v>
      </c>
      <c r="F3" s="1226" t="s">
        <v>1654</v>
      </c>
      <c r="G3" s="3031" t="s">
        <v>2917</v>
      </c>
      <c r="H3" s="1990"/>
      <c r="I3" s="1990"/>
      <c r="J3" s="1990"/>
      <c r="K3" s="1990"/>
      <c r="L3" s="1990"/>
      <c r="M3" s="1990"/>
      <c r="N3" s="1990"/>
      <c r="O3" s="1990"/>
      <c r="P3" s="1990"/>
      <c r="Q3" s="1990"/>
      <c r="R3" s="1990"/>
    </row>
    <row r="4" spans="1:18" ht="43.2">
      <c r="A4" s="1225"/>
      <c r="B4" s="1227" t="s">
        <v>1667</v>
      </c>
      <c r="C4" s="3200" t="s">
        <v>3184</v>
      </c>
      <c r="D4" s="1991"/>
      <c r="E4" s="1228"/>
      <c r="F4" s="1229" t="s">
        <v>1668</v>
      </c>
      <c r="G4" s="3030" t="s">
        <v>2914</v>
      </c>
      <c r="H4" s="1990"/>
      <c r="I4" s="1990"/>
      <c r="J4" s="1990"/>
      <c r="K4" s="1990"/>
      <c r="L4" s="1990"/>
      <c r="M4" s="1990"/>
      <c r="N4" s="1990"/>
      <c r="O4" s="1990"/>
      <c r="P4" s="1990"/>
      <c r="Q4" s="1990"/>
      <c r="R4" s="1990"/>
    </row>
    <row r="5" spans="1:18" ht="28.8">
      <c r="A5" s="1225"/>
      <c r="B5" s="1227" t="s">
        <v>1669</v>
      </c>
      <c r="C5" s="3029"/>
      <c r="D5" s="1991"/>
      <c r="E5" s="1228"/>
      <c r="F5" s="1227" t="s">
        <v>2543</v>
      </c>
      <c r="G5" s="3030" t="s">
        <v>2915</v>
      </c>
      <c r="H5" s="1990"/>
      <c r="I5" s="1990"/>
      <c r="J5" s="1990"/>
      <c r="K5" s="1990"/>
      <c r="L5" s="1990"/>
      <c r="M5" s="1990"/>
      <c r="N5" s="1990"/>
      <c r="O5" s="1990"/>
      <c r="P5" s="1990"/>
      <c r="Q5" s="1990"/>
      <c r="R5" s="1990"/>
    </row>
    <row r="6" spans="1:18" ht="28.8">
      <c r="A6" s="1225"/>
      <c r="B6" s="1227" t="s">
        <v>1655</v>
      </c>
      <c r="C6" s="3188" t="s">
        <v>3135</v>
      </c>
      <c r="D6" s="1991"/>
      <c r="E6" s="1228"/>
      <c r="F6" s="1227" t="s">
        <v>2544</v>
      </c>
      <c r="G6" s="3030" t="s">
        <v>2913</v>
      </c>
      <c r="H6" s="1990"/>
      <c r="I6" s="1990"/>
      <c r="J6" s="1990"/>
      <c r="K6" s="1990"/>
      <c r="L6" s="1990"/>
      <c r="M6" s="1990"/>
      <c r="N6" s="1990"/>
      <c r="O6" s="1990"/>
      <c r="P6" s="1990"/>
      <c r="Q6" s="1990"/>
      <c r="R6" s="1990"/>
    </row>
    <row r="7" spans="1:18" ht="43.8" thickBot="1">
      <c r="A7" s="1225"/>
      <c r="B7" s="1227" t="s">
        <v>2543</v>
      </c>
      <c r="C7" s="3188" t="s">
        <v>3330</v>
      </c>
      <c r="D7" s="1992"/>
      <c r="E7" s="1230"/>
      <c r="F7" s="1231" t="s">
        <v>1670</v>
      </c>
      <c r="G7" s="3032" t="s">
        <v>2916</v>
      </c>
      <c r="H7" s="1990"/>
      <c r="I7" s="1990"/>
      <c r="J7" s="1990"/>
      <c r="K7" s="1990"/>
      <c r="L7" s="1990"/>
      <c r="M7" s="1990"/>
      <c r="N7" s="1990"/>
      <c r="O7" s="1990"/>
      <c r="P7" s="1990"/>
      <c r="Q7" s="1990"/>
      <c r="R7" s="1990"/>
    </row>
    <row r="8" spans="1:18">
      <c r="A8" s="1225"/>
      <c r="B8" s="1227" t="s">
        <v>2544</v>
      </c>
      <c r="C8" s="3188" t="s">
        <v>1980</v>
      </c>
      <c r="D8" s="1992"/>
      <c r="E8" s="1992"/>
      <c r="F8" s="1539"/>
      <c r="G8" s="1539"/>
      <c r="H8" s="1990"/>
      <c r="I8" s="1990"/>
      <c r="J8" s="1990"/>
      <c r="K8" s="1990"/>
      <c r="L8" s="1990"/>
      <c r="M8" s="1990"/>
      <c r="N8" s="1990"/>
      <c r="O8" s="1990"/>
      <c r="P8" s="1990"/>
      <c r="Q8" s="1990"/>
      <c r="R8" s="1990"/>
    </row>
    <row r="9" spans="1:18">
      <c r="A9" s="1225"/>
      <c r="B9" s="1227" t="s">
        <v>1656</v>
      </c>
      <c r="C9" s="3188" t="s">
        <v>3330</v>
      </c>
      <c r="D9" s="1991"/>
      <c r="E9" s="1992"/>
      <c r="F9" s="1539"/>
      <c r="G9" s="1539"/>
      <c r="H9" s="1990"/>
      <c r="I9" s="1990"/>
      <c r="J9" s="1990"/>
      <c r="K9" s="1990"/>
      <c r="L9" s="1990"/>
      <c r="M9" s="1990"/>
      <c r="N9" s="1990"/>
      <c r="O9" s="1990"/>
      <c r="P9" s="1990"/>
      <c r="Q9" s="1990"/>
      <c r="R9" s="1990"/>
    </row>
    <row r="10" spans="1:18" s="1998" customFormat="1" ht="15" thickBot="1">
      <c r="A10" s="1232"/>
      <c r="B10" s="1233" t="s">
        <v>1671</v>
      </c>
      <c r="C10" s="3189" t="s">
        <v>3137</v>
      </c>
      <c r="D10" s="1991"/>
      <c r="E10" s="1991"/>
      <c r="F10" s="1539"/>
      <c r="G10" s="1539"/>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7.399999999999999">
      <c r="A12" s="1993"/>
      <c r="B12" s="1992"/>
      <c r="C12" s="1991"/>
      <c r="D12" s="2539"/>
      <c r="E12" s="1991"/>
      <c r="F12" s="1992"/>
      <c r="G12" s="1994"/>
      <c r="H12" s="1999"/>
      <c r="I12" s="2000"/>
      <c r="J12" s="1999"/>
      <c r="K12" s="1999"/>
      <c r="L12" s="2001"/>
      <c r="M12" s="1999"/>
      <c r="N12" s="2002"/>
      <c r="O12" s="2003"/>
      <c r="P12" s="2004"/>
      <c r="Q12" s="2002"/>
      <c r="R12" s="1988"/>
    </row>
    <row r="13" spans="1:18" ht="18" thickBot="1">
      <c r="A13" s="2538" t="s">
        <v>1672</v>
      </c>
      <c r="B13" s="2539"/>
      <c r="C13" s="2539"/>
      <c r="D13" s="1220"/>
      <c r="E13" s="2539"/>
      <c r="F13" s="2539"/>
      <c r="G13" s="2539"/>
    </row>
    <row r="14" spans="1:18" ht="15" thickBot="1">
      <c r="A14" s="1234"/>
      <c r="B14" s="1235"/>
      <c r="C14" s="1236" t="s">
        <v>1664</v>
      </c>
      <c r="D14" s="1991"/>
      <c r="E14" s="1237"/>
      <c r="F14" s="1237"/>
      <c r="G14" s="1219" t="s">
        <v>1665</v>
      </c>
    </row>
    <row r="15" spans="1:18" ht="43.2">
      <c r="A15" s="2549" t="s">
        <v>1657</v>
      </c>
      <c r="B15" s="1238" t="s">
        <v>1653</v>
      </c>
      <c r="C15" s="1239" t="str">
        <f>C3</f>
        <v>较好</v>
      </c>
      <c r="D15" s="1991"/>
      <c r="E15" s="2546" t="s">
        <v>1658</v>
      </c>
      <c r="F15" s="1238" t="s">
        <v>1673</v>
      </c>
      <c r="G15" s="1240" t="str">
        <f>G3</f>
        <v>估价对象位于XX开发区，园区建设成熟度XX，产业集聚程度XX</v>
      </c>
      <c r="N15" s="3202" t="s">
        <v>3204</v>
      </c>
    </row>
    <row r="16" spans="1:18" ht="43.2">
      <c r="A16" s="2550"/>
      <c r="B16" s="1241" t="s">
        <v>1667</v>
      </c>
      <c r="C16" s="1242" t="str">
        <f>C4</f>
        <v>较好</v>
      </c>
      <c r="D16" s="1991"/>
      <c r="E16" s="2547"/>
      <c r="F16" s="1243" t="s">
        <v>1668</v>
      </c>
      <c r="G16" s="1005" t="str">
        <f>G4</f>
        <v>估价对象周边道路状况、公共交通通达情况、停车便捷程度，综合评价交通便捷度较好</v>
      </c>
    </row>
    <row r="17" spans="1:7">
      <c r="A17" s="2550"/>
      <c r="B17" s="1241" t="s">
        <v>1669</v>
      </c>
      <c r="C17" s="1242">
        <f>C5</f>
        <v>0</v>
      </c>
      <c r="D17" s="1992"/>
      <c r="E17" s="2547"/>
      <c r="F17" s="1243" t="s">
        <v>1674</v>
      </c>
      <c r="G17" s="2747"/>
    </row>
    <row r="18" spans="1:7" ht="43.2">
      <c r="A18" s="2550"/>
      <c r="B18" s="1243" t="s">
        <v>1655</v>
      </c>
      <c r="C18" s="1005" t="str">
        <f>C6</f>
        <v>较好</v>
      </c>
      <c r="D18" s="1992"/>
      <c r="E18" s="2547"/>
      <c r="F18" s="1243" t="s">
        <v>1670</v>
      </c>
      <c r="G18" s="1005" t="str">
        <f>G7</f>
        <v>该园区内是否有污染型企业，绿化情况，卫生条件，整体环境状况判断</v>
      </c>
    </row>
    <row r="19" spans="1:7" ht="28.8">
      <c r="A19" s="2550"/>
      <c r="B19" s="1243" t="s">
        <v>1659</v>
      </c>
      <c r="C19" s="2747"/>
      <c r="D19" s="1991"/>
      <c r="E19" s="2547"/>
      <c r="F19" s="1227" t="s">
        <v>2543</v>
      </c>
      <c r="G19" s="1005" t="str">
        <f>G5</f>
        <v>估价对象所在区域公共配套设施齐备情况</v>
      </c>
    </row>
    <row r="20" spans="1:7" ht="28.8">
      <c r="A20" s="2550"/>
      <c r="B20" s="1243" t="s">
        <v>1660</v>
      </c>
      <c r="C20" s="1242" t="str">
        <f>C9</f>
        <v>一般</v>
      </c>
      <c r="D20" s="1992"/>
      <c r="E20" s="2547"/>
      <c r="F20" s="1227" t="s">
        <v>2544</v>
      </c>
      <c r="G20" s="1005" t="str">
        <f>G6</f>
        <v>估价对象所在区域基础设施水平</v>
      </c>
    </row>
    <row r="21" spans="1:7">
      <c r="A21" s="2550"/>
      <c r="B21" s="1227" t="s">
        <v>2543</v>
      </c>
      <c r="C21" s="1005" t="str">
        <f>C7</f>
        <v>一般</v>
      </c>
      <c r="D21" s="1991"/>
      <c r="E21" s="2547"/>
      <c r="F21" s="1243" t="s">
        <v>1661</v>
      </c>
      <c r="G21" s="3033"/>
    </row>
    <row r="22" spans="1:7">
      <c r="A22" s="2550"/>
      <c r="B22" s="1227" t="s">
        <v>2544</v>
      </c>
      <c r="C22" s="1005" t="str">
        <f>C8</f>
        <v>六通</v>
      </c>
      <c r="D22" s="1991"/>
      <c r="E22" s="2547"/>
      <c r="F22" s="1243" t="s">
        <v>1671</v>
      </c>
      <c r="G22" s="2747"/>
    </row>
    <row r="23" spans="1:7" ht="15" thickBot="1">
      <c r="A23" s="2550"/>
      <c r="B23" s="1243" t="s">
        <v>1661</v>
      </c>
      <c r="C23" s="3033"/>
      <c r="E23" s="2548"/>
      <c r="F23" s="1244" t="s">
        <v>1675</v>
      </c>
      <c r="G23" s="3034"/>
    </row>
    <row r="24" spans="1:7" ht="15" thickBot="1">
      <c r="A24" s="2551"/>
      <c r="B24" s="1244" t="s">
        <v>1662</v>
      </c>
      <c r="C24" s="1245" t="str">
        <f>C10</f>
        <v>次干道</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3"/>
  <sheetViews>
    <sheetView workbookViewId="0">
      <selection activeCell="G15" sqref="G15"/>
    </sheetView>
  </sheetViews>
  <sheetFormatPr defaultColWidth="14.6640625" defaultRowHeight="14.4"/>
  <cols>
    <col min="1" max="1" width="24.33203125" customWidth="1"/>
  </cols>
  <sheetData>
    <row r="1" spans="1:9" ht="15.6">
      <c r="A1" s="2993" t="s">
        <v>2840</v>
      </c>
      <c r="B1" s="2993">
        <f>SUM(B14:B23)</f>
        <v>167887.58000000002</v>
      </c>
      <c r="C1" s="2994"/>
      <c r="D1" s="2994"/>
      <c r="E1" s="2994"/>
      <c r="F1" s="2994"/>
    </row>
    <row r="2" spans="1:9" ht="15.6">
      <c r="A2" s="2993" t="s">
        <v>2841</v>
      </c>
      <c r="B2" s="2993">
        <f>SUM(C14:C23)</f>
        <v>22322.400000000001</v>
      </c>
      <c r="C2" s="2994"/>
      <c r="D2" s="2994"/>
      <c r="E2" s="2994"/>
      <c r="F2" s="2994"/>
    </row>
    <row r="3" spans="1:9" ht="15.6">
      <c r="A3" s="2993" t="s">
        <v>2842</v>
      </c>
      <c r="B3" s="2995">
        <f>项目基本情况!D3</f>
        <v>43889</v>
      </c>
      <c r="C3" s="2994"/>
      <c r="D3" s="2994"/>
      <c r="E3" s="2994"/>
      <c r="F3" s="2994"/>
    </row>
    <row r="4" spans="1:9" ht="31.2">
      <c r="A4" s="2993" t="s">
        <v>2843</v>
      </c>
      <c r="B4" s="2993" t="s">
        <v>2844</v>
      </c>
      <c r="C4" s="2993" t="s">
        <v>2845</v>
      </c>
      <c r="D4" s="2993" t="s">
        <v>2846</v>
      </c>
      <c r="E4" s="2994"/>
      <c r="F4" s="2994"/>
    </row>
    <row r="5" spans="1:9" ht="15.6">
      <c r="A5" s="2993" t="s">
        <v>2847</v>
      </c>
      <c r="B5" s="2993">
        <f ca="1">SUM(D14:D23)</f>
        <v>16726</v>
      </c>
      <c r="C5" s="2993">
        <f ca="1">ROUND(B5*10000/$B$1,0)</f>
        <v>996</v>
      </c>
      <c r="D5" s="2993">
        <f ca="1">ROUND(B5*10000/$B$2,0)</f>
        <v>7493</v>
      </c>
      <c r="E5" s="2994"/>
      <c r="F5" s="2994"/>
    </row>
    <row r="6" spans="1:9" ht="15.6">
      <c r="A6" s="2993" t="s">
        <v>2848</v>
      </c>
      <c r="B6" s="2993">
        <f ca="1">SUM(G14:G23)</f>
        <v>16726</v>
      </c>
      <c r="C6" s="2993">
        <f t="shared" ref="C6:C8" ca="1" si="0">ROUND(B6*10000/$B$1,0)</f>
        <v>996</v>
      </c>
      <c r="D6" s="2993">
        <f t="shared" ref="D6:D8" ca="1" si="1">ROUND(B6*10000/$B$2,0)</f>
        <v>7493</v>
      </c>
      <c r="E6" s="2994"/>
      <c r="F6" s="2994"/>
    </row>
    <row r="7" spans="1:9" ht="15.6">
      <c r="A7" s="2993" t="s">
        <v>2849</v>
      </c>
      <c r="B7" s="2993">
        <f>SUM(H14:H23)</f>
        <v>0</v>
      </c>
      <c r="C7" s="2993">
        <f t="shared" si="0"/>
        <v>0</v>
      </c>
      <c r="D7" s="2993">
        <f t="shared" si="1"/>
        <v>0</v>
      </c>
      <c r="E7" s="2994"/>
      <c r="F7" s="2994"/>
    </row>
    <row r="8" spans="1:9" ht="15.6">
      <c r="A8" s="2993" t="s">
        <v>2850</v>
      </c>
      <c r="B8" s="2993">
        <f>SUM(I14:I23)</f>
        <v>0</v>
      </c>
      <c r="C8" s="2993">
        <f t="shared" si="0"/>
        <v>0</v>
      </c>
      <c r="D8" s="2993">
        <f t="shared" si="1"/>
        <v>0</v>
      </c>
      <c r="E8" s="2994"/>
      <c r="F8" s="2994"/>
    </row>
    <row r="9" spans="1:9" ht="15.6">
      <c r="A9" s="2993" t="s">
        <v>2851</v>
      </c>
      <c r="B9" s="2996"/>
      <c r="C9" s="2994"/>
      <c r="D9" s="2994"/>
      <c r="E9" s="2994"/>
      <c r="F9" s="2994"/>
    </row>
    <row r="10" spans="1:9" ht="15.6">
      <c r="A10" s="2993" t="s">
        <v>2852</v>
      </c>
      <c r="B10" s="2996"/>
      <c r="C10" s="2994"/>
      <c r="D10" s="2994"/>
      <c r="E10" s="2994"/>
      <c r="F10" s="2994"/>
    </row>
    <row r="11" spans="1:9" ht="15.6">
      <c r="A11" s="2993" t="s">
        <v>2869</v>
      </c>
      <c r="B11" s="2996"/>
      <c r="C11" s="2994"/>
      <c r="D11" s="2994"/>
      <c r="E11" s="2994"/>
      <c r="F11" s="2994"/>
    </row>
    <row r="12" spans="1:9" ht="15.6">
      <c r="A12" s="2994"/>
      <c r="B12" s="2994"/>
      <c r="C12" s="2994"/>
      <c r="D12" s="2994"/>
      <c r="E12" s="2994"/>
      <c r="F12" s="2994"/>
    </row>
    <row r="13" spans="1:9" ht="31.2">
      <c r="A13" s="2999" t="s">
        <v>2868</v>
      </c>
      <c r="B13" s="2997" t="s">
        <v>2840</v>
      </c>
      <c r="C13" s="2997" t="s">
        <v>2841</v>
      </c>
      <c r="D13" s="2997" t="s">
        <v>2853</v>
      </c>
      <c r="E13" s="2993" t="s">
        <v>2867</v>
      </c>
      <c r="F13" s="2993" t="s">
        <v>2846</v>
      </c>
      <c r="G13" s="2997" t="s">
        <v>2854</v>
      </c>
      <c r="H13" s="2997" t="s">
        <v>2855</v>
      </c>
      <c r="I13" s="2997" t="s">
        <v>2856</v>
      </c>
    </row>
    <row r="14" spans="1:9" ht="15.6">
      <c r="A14" s="3000" t="s">
        <v>2866</v>
      </c>
      <c r="B14" s="2997">
        <f>结果表!L38</f>
        <v>167887.58000000002</v>
      </c>
      <c r="C14" s="2997">
        <f>结果表!K38</f>
        <v>22322.400000000001</v>
      </c>
      <c r="D14" s="2997">
        <f ca="1">结果表!C42</f>
        <v>16726</v>
      </c>
      <c r="E14" s="2997">
        <f ca="1">ROUND(D14*10000/B14,0)</f>
        <v>996</v>
      </c>
      <c r="F14" s="2997">
        <f ca="1">ROUND(D14*10000/C14,0)</f>
        <v>7493</v>
      </c>
      <c r="G14" s="2997">
        <f ca="1">结果表!C44</f>
        <v>16726</v>
      </c>
      <c r="H14" s="2997" t="str">
        <f>结果表!C45</f>
        <v>——</v>
      </c>
      <c r="I14" s="2997" t="str">
        <f>结果表!C46</f>
        <v>——</v>
      </c>
    </row>
    <row r="15" spans="1:9" ht="15.6">
      <c r="A15" s="3000" t="s">
        <v>2857</v>
      </c>
      <c r="B15" s="3001"/>
      <c r="C15" s="3001"/>
      <c r="D15" s="3001"/>
      <c r="E15" s="2997" t="e">
        <f t="shared" ref="E15:E23" si="2">ROUND(D15*10000/B15,0)</f>
        <v>#DIV/0!</v>
      </c>
      <c r="F15" s="2997" t="e">
        <f t="shared" ref="F15:F23" si="3">ROUND(D15*10000/C15,0)</f>
        <v>#DIV/0!</v>
      </c>
      <c r="G15" s="2998"/>
      <c r="H15" s="2998"/>
      <c r="I15" s="3001"/>
    </row>
    <row r="16" spans="1:9" ht="15.6">
      <c r="A16" s="3000" t="s">
        <v>2858</v>
      </c>
      <c r="B16" s="3001"/>
      <c r="C16" s="3001"/>
      <c r="D16" s="3001"/>
      <c r="E16" s="2997" t="e">
        <f t="shared" si="2"/>
        <v>#DIV/0!</v>
      </c>
      <c r="F16" s="2997" t="e">
        <f t="shared" si="3"/>
        <v>#DIV/0!</v>
      </c>
      <c r="G16" s="2998"/>
      <c r="H16" s="2998"/>
      <c r="I16" s="3001"/>
    </row>
    <row r="17" spans="1:9" ht="15.6">
      <c r="A17" s="3000" t="s">
        <v>2859</v>
      </c>
      <c r="B17" s="3001"/>
      <c r="C17" s="3001"/>
      <c r="D17" s="3001"/>
      <c r="E17" s="2997" t="e">
        <f t="shared" si="2"/>
        <v>#DIV/0!</v>
      </c>
      <c r="F17" s="2997" t="e">
        <f t="shared" si="3"/>
        <v>#DIV/0!</v>
      </c>
      <c r="G17" s="2998"/>
      <c r="H17" s="2998"/>
      <c r="I17" s="3001"/>
    </row>
    <row r="18" spans="1:9" ht="15.6">
      <c r="A18" s="3000" t="s">
        <v>2860</v>
      </c>
      <c r="B18" s="3001"/>
      <c r="C18" s="3001"/>
      <c r="D18" s="3001"/>
      <c r="E18" s="2997" t="e">
        <f t="shared" si="2"/>
        <v>#DIV/0!</v>
      </c>
      <c r="F18" s="2997" t="e">
        <f t="shared" si="3"/>
        <v>#DIV/0!</v>
      </c>
      <c r="G18" s="3001"/>
      <c r="H18" s="3001"/>
      <c r="I18" s="3001"/>
    </row>
    <row r="19" spans="1:9" ht="15.6">
      <c r="A19" s="3000" t="s">
        <v>2861</v>
      </c>
      <c r="B19" s="3001"/>
      <c r="C19" s="3001"/>
      <c r="D19" s="3001"/>
      <c r="E19" s="2997" t="e">
        <f t="shared" si="2"/>
        <v>#DIV/0!</v>
      </c>
      <c r="F19" s="2997" t="e">
        <f t="shared" si="3"/>
        <v>#DIV/0!</v>
      </c>
      <c r="G19" s="3001"/>
      <c r="H19" s="3001"/>
      <c r="I19" s="3001"/>
    </row>
    <row r="20" spans="1:9" ht="15.6">
      <c r="A20" s="3000" t="s">
        <v>2862</v>
      </c>
      <c r="B20" s="3001"/>
      <c r="C20" s="3001"/>
      <c r="D20" s="3001"/>
      <c r="E20" s="2997" t="e">
        <f t="shared" si="2"/>
        <v>#DIV/0!</v>
      </c>
      <c r="F20" s="2997" t="e">
        <f t="shared" si="3"/>
        <v>#DIV/0!</v>
      </c>
      <c r="G20" s="3001"/>
      <c r="H20" s="3001"/>
      <c r="I20" s="3001"/>
    </row>
    <row r="21" spans="1:9" ht="15.6">
      <c r="A21" s="3000" t="s">
        <v>2863</v>
      </c>
      <c r="B21" s="3001"/>
      <c r="C21" s="3001"/>
      <c r="D21" s="3001"/>
      <c r="E21" s="2997" t="e">
        <f t="shared" si="2"/>
        <v>#DIV/0!</v>
      </c>
      <c r="F21" s="2997" t="e">
        <f t="shared" si="3"/>
        <v>#DIV/0!</v>
      </c>
      <c r="G21" s="3001"/>
      <c r="H21" s="3001"/>
      <c r="I21" s="3001"/>
    </row>
    <row r="22" spans="1:9" ht="15.6">
      <c r="A22" s="3000" t="s">
        <v>2864</v>
      </c>
      <c r="B22" s="3001"/>
      <c r="C22" s="3001"/>
      <c r="D22" s="3001"/>
      <c r="E22" s="2997" t="e">
        <f t="shared" si="2"/>
        <v>#DIV/0!</v>
      </c>
      <c r="F22" s="2997" t="e">
        <f t="shared" si="3"/>
        <v>#DIV/0!</v>
      </c>
      <c r="G22" s="3001"/>
      <c r="H22" s="3001"/>
      <c r="I22" s="3001"/>
    </row>
    <row r="23" spans="1:9" ht="15.6">
      <c r="A23" s="3000" t="s">
        <v>2865</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zoomScaleNormal="100" zoomScaleSheetLayoutView="100" zoomScalePageLayoutView="80" workbookViewId="0">
      <selection activeCell="L21" sqref="L21"/>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58" t="s">
        <v>2052</v>
      </c>
      <c r="B1" s="1759"/>
      <c r="C1" s="1787" t="s">
        <v>2053</v>
      </c>
      <c r="D1" s="1788"/>
      <c r="E1" s="1787" t="s">
        <v>2054</v>
      </c>
      <c r="F1" s="1789" t="s">
        <v>3138</v>
      </c>
      <c r="G1" s="311"/>
      <c r="H1" s="311"/>
      <c r="I1" s="311"/>
      <c r="J1" s="2011"/>
      <c r="K1" s="2011"/>
      <c r="L1" s="2011"/>
      <c r="M1" s="2011"/>
      <c r="N1" s="2011"/>
      <c r="O1" s="2011"/>
      <c r="P1" s="2011"/>
      <c r="Q1" s="2011"/>
      <c r="R1" s="2011"/>
      <c r="S1" s="2011"/>
      <c r="T1" s="2011"/>
      <c r="U1" s="2011"/>
      <c r="V1" s="2011"/>
    </row>
    <row r="2" spans="1:22" ht="21.75" customHeight="1" thickBot="1">
      <c r="A2" s="3462" t="str">
        <f>项目基本情况!K2</f>
        <v>重庆市潼南区梓潼街道办凉风垭C2-3-04（1）号地块出让国有建设用地使用权</v>
      </c>
      <c r="B2" s="3463"/>
      <c r="C2" s="3464"/>
      <c r="D2" s="3464"/>
      <c r="E2" s="3464"/>
      <c r="F2" s="3464"/>
      <c r="G2" s="3463"/>
      <c r="H2" s="3463"/>
      <c r="I2" s="3465"/>
      <c r="J2" s="2012"/>
      <c r="K2" s="2011"/>
      <c r="L2" s="2011"/>
      <c r="M2" s="2011"/>
      <c r="N2" s="2011"/>
      <c r="O2" s="2011"/>
      <c r="P2" s="2011"/>
      <c r="Q2" s="2011"/>
      <c r="R2" s="2011"/>
      <c r="S2" s="2011"/>
      <c r="T2" s="2011"/>
      <c r="U2" s="2011"/>
      <c r="V2" s="2011"/>
    </row>
    <row r="3" spans="1:22" ht="13.8">
      <c r="A3" s="3473" t="s">
        <v>298</v>
      </c>
      <c r="B3" s="3474"/>
      <c r="C3" s="3474"/>
      <c r="D3" s="3474"/>
      <c r="E3" s="3474"/>
      <c r="F3" s="3474"/>
      <c r="G3" s="3474"/>
      <c r="H3" s="3474"/>
      <c r="I3" s="3474"/>
      <c r="J3" s="2012"/>
      <c r="K3" s="2011"/>
      <c r="L3" s="2011"/>
      <c r="M3" s="2011"/>
      <c r="N3" s="2011"/>
      <c r="O3" s="2011"/>
      <c r="P3" s="2011"/>
      <c r="Q3" s="2011"/>
      <c r="R3" s="2011"/>
      <c r="S3" s="2011"/>
      <c r="T3" s="2011"/>
      <c r="U3" s="2011"/>
      <c r="V3" s="2011"/>
    </row>
    <row r="4" spans="1:22" ht="14.4">
      <c r="A4" s="258" t="s">
        <v>299</v>
      </c>
      <c r="B4" s="259" t="s">
        <v>300</v>
      </c>
      <c r="C4" s="260" t="s">
        <v>3139</v>
      </c>
      <c r="D4" s="260" t="s">
        <v>3140</v>
      </c>
      <c r="E4" s="3437" t="s">
        <v>301</v>
      </c>
      <c r="F4" s="3479"/>
      <c r="G4" s="3479"/>
      <c r="H4" s="3479"/>
      <c r="I4" s="3438"/>
      <c r="J4" s="2012"/>
      <c r="K4" s="2011"/>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1"/>
      <c r="O4" s="2011"/>
      <c r="P4" s="2011"/>
      <c r="Q4" s="2011"/>
      <c r="R4" s="2011"/>
      <c r="S4" s="2011"/>
      <c r="T4" s="2011"/>
      <c r="U4" s="2011"/>
      <c r="V4" s="2011"/>
    </row>
    <row r="5" spans="1:22" ht="13.8">
      <c r="A5" s="3466" t="s">
        <v>302</v>
      </c>
      <c r="B5" s="3467">
        <v>25</v>
      </c>
      <c r="C5" s="3475"/>
      <c r="D5" s="3478"/>
      <c r="E5" s="261" t="s">
        <v>303</v>
      </c>
      <c r="F5" s="262"/>
      <c r="G5" s="262"/>
      <c r="H5" s="262"/>
      <c r="I5" s="263"/>
      <c r="J5" s="2012"/>
      <c r="K5" s="2011"/>
      <c r="L5" s="2011"/>
      <c r="M5" s="2011"/>
      <c r="N5" s="2011"/>
      <c r="O5" s="2011"/>
      <c r="P5" s="2011"/>
      <c r="Q5" s="2011"/>
      <c r="R5" s="2011"/>
      <c r="S5" s="2011"/>
      <c r="T5" s="2011"/>
      <c r="U5" s="2011"/>
      <c r="V5" s="2011"/>
    </row>
    <row r="6" spans="1:22" ht="13.8">
      <c r="A6" s="3466"/>
      <c r="B6" s="3467"/>
      <c r="C6" s="3476"/>
      <c r="D6" s="3478"/>
      <c r="E6" s="261" t="s">
        <v>304</v>
      </c>
      <c r="F6" s="262"/>
      <c r="G6" s="262"/>
      <c r="H6" s="262"/>
      <c r="I6" s="263"/>
      <c r="J6" s="2012"/>
      <c r="K6" s="2011"/>
      <c r="L6" s="2011"/>
      <c r="M6" s="2011"/>
      <c r="N6" s="2011"/>
      <c r="O6" s="2011"/>
      <c r="P6" s="2011"/>
      <c r="Q6" s="2011"/>
      <c r="R6" s="2011"/>
      <c r="S6" s="2011"/>
      <c r="T6" s="2011"/>
      <c r="U6" s="2011"/>
      <c r="V6" s="2011"/>
    </row>
    <row r="7" spans="1:22" ht="13.8">
      <c r="A7" s="3466"/>
      <c r="B7" s="3467"/>
      <c r="C7" s="3477"/>
      <c r="D7" s="3478"/>
      <c r="E7" s="261" t="s">
        <v>305</v>
      </c>
      <c r="F7" s="262"/>
      <c r="G7" s="262"/>
      <c r="H7" s="262"/>
      <c r="I7" s="263"/>
      <c r="J7" s="2012"/>
      <c r="K7" s="2011"/>
      <c r="L7" s="2011"/>
      <c r="M7" s="2011"/>
      <c r="N7" s="2011"/>
      <c r="O7" s="2011"/>
      <c r="P7" s="2011"/>
      <c r="Q7" s="2011"/>
      <c r="R7" s="2011"/>
      <c r="S7" s="2011"/>
      <c r="T7" s="2011"/>
      <c r="U7" s="2011"/>
      <c r="V7" s="2011"/>
    </row>
    <row r="8" spans="1:22" ht="13.8">
      <c r="A8" s="3466" t="s">
        <v>306</v>
      </c>
      <c r="B8" s="3467">
        <v>15</v>
      </c>
      <c r="C8" s="3475"/>
      <c r="D8" s="3478"/>
      <c r="E8" s="261" t="s">
        <v>307</v>
      </c>
      <c r="F8" s="262"/>
      <c r="G8" s="262"/>
      <c r="H8" s="262"/>
      <c r="I8" s="263"/>
      <c r="J8" s="2012"/>
      <c r="K8" s="2011"/>
      <c r="L8" s="2011"/>
      <c r="M8" s="2011"/>
      <c r="N8" s="2011"/>
      <c r="O8" s="2011"/>
      <c r="P8" s="2011"/>
      <c r="Q8" s="2011"/>
      <c r="R8" s="2011"/>
      <c r="S8" s="2011"/>
      <c r="T8" s="2011"/>
      <c r="U8" s="2011"/>
      <c r="V8" s="2011"/>
    </row>
    <row r="9" spans="1:22" ht="13.8">
      <c r="A9" s="3466"/>
      <c r="B9" s="3467"/>
      <c r="C9" s="3477"/>
      <c r="D9" s="3478"/>
      <c r="E9" s="261" t="s">
        <v>308</v>
      </c>
      <c r="F9" s="262"/>
      <c r="G9" s="262"/>
      <c r="H9" s="262"/>
      <c r="I9" s="263"/>
      <c r="J9" s="2012"/>
      <c r="K9" s="2011"/>
      <c r="L9" s="2011"/>
      <c r="M9" s="2011"/>
      <c r="N9" s="2011"/>
      <c r="O9" s="2011"/>
      <c r="P9" s="2011"/>
      <c r="Q9" s="2011"/>
      <c r="R9" s="2011"/>
      <c r="S9" s="2011"/>
      <c r="T9" s="2011"/>
      <c r="U9" s="2011"/>
      <c r="V9" s="2011"/>
    </row>
    <row r="10" spans="1:22" ht="13.8">
      <c r="A10" s="3466" t="s">
        <v>309</v>
      </c>
      <c r="B10" s="3467">
        <v>15</v>
      </c>
      <c r="C10" s="3475"/>
      <c r="D10" s="3478"/>
      <c r="E10" s="261" t="s">
        <v>310</v>
      </c>
      <c r="F10" s="262"/>
      <c r="G10" s="262"/>
      <c r="H10" s="262"/>
      <c r="I10" s="263"/>
      <c r="J10" s="2012"/>
      <c r="K10" s="2011"/>
      <c r="L10" s="2011"/>
      <c r="M10" s="2011"/>
      <c r="N10" s="2011"/>
      <c r="O10" s="2011"/>
      <c r="P10" s="2011"/>
      <c r="Q10" s="2011"/>
      <c r="R10" s="2011"/>
      <c r="S10" s="2011"/>
      <c r="T10" s="2011"/>
      <c r="U10" s="2011"/>
      <c r="V10" s="2011"/>
    </row>
    <row r="11" spans="1:22" ht="13.8">
      <c r="A11" s="3466"/>
      <c r="B11" s="3467"/>
      <c r="C11" s="3477"/>
      <c r="D11" s="3478"/>
      <c r="E11" s="261" t="s">
        <v>311</v>
      </c>
      <c r="F11" s="262"/>
      <c r="G11" s="262"/>
      <c r="H11" s="262"/>
      <c r="I11" s="263"/>
      <c r="J11" s="2012"/>
      <c r="K11" s="2011"/>
      <c r="L11" s="2011"/>
      <c r="M11" s="2011"/>
      <c r="N11" s="2011"/>
      <c r="O11" s="2011"/>
      <c r="P11" s="2011"/>
      <c r="Q11" s="2011"/>
      <c r="R11" s="2011"/>
      <c r="S11" s="2011"/>
      <c r="T11" s="2011"/>
      <c r="U11" s="2011"/>
      <c r="V11" s="2011"/>
    </row>
    <row r="12" spans="1:22" ht="13.8">
      <c r="A12" s="3466" t="s">
        <v>312</v>
      </c>
      <c r="B12" s="3467">
        <v>15</v>
      </c>
      <c r="C12" s="3475"/>
      <c r="D12" s="3478"/>
      <c r="E12" s="261" t="s">
        <v>313</v>
      </c>
      <c r="F12" s="262"/>
      <c r="G12" s="262"/>
      <c r="H12" s="262"/>
      <c r="I12" s="263"/>
      <c r="J12" s="2012"/>
      <c r="K12" s="2011"/>
      <c r="L12" s="2011"/>
      <c r="M12" s="2011"/>
      <c r="N12" s="2011"/>
      <c r="O12" s="2011"/>
      <c r="P12" s="2011"/>
      <c r="Q12" s="2011"/>
      <c r="R12" s="2011"/>
      <c r="S12" s="2011"/>
      <c r="T12" s="2011"/>
      <c r="U12" s="2011"/>
      <c r="V12" s="2011"/>
    </row>
    <row r="13" spans="1:22" ht="13.8">
      <c r="A13" s="3466"/>
      <c r="B13" s="3467"/>
      <c r="C13" s="3477"/>
      <c r="D13" s="3478"/>
      <c r="E13" s="261" t="s">
        <v>314</v>
      </c>
      <c r="F13" s="262"/>
      <c r="G13" s="262"/>
      <c r="H13" s="262"/>
      <c r="I13" s="263"/>
      <c r="J13" s="2012"/>
      <c r="K13" s="2011"/>
      <c r="L13" s="2011"/>
      <c r="M13" s="2011"/>
      <c r="N13" s="2011"/>
      <c r="O13" s="2011"/>
      <c r="P13" s="2011"/>
      <c r="Q13" s="2011"/>
      <c r="R13" s="2011"/>
      <c r="S13" s="2011"/>
      <c r="T13" s="2011"/>
      <c r="U13" s="2011"/>
      <c r="V13" s="2011"/>
    </row>
    <row r="14" spans="1:22" ht="13.8">
      <c r="A14" s="3466" t="s">
        <v>315</v>
      </c>
      <c r="B14" s="3467">
        <v>30</v>
      </c>
      <c r="C14" s="3475">
        <v>5</v>
      </c>
      <c r="D14" s="3478">
        <v>5</v>
      </c>
      <c r="E14" s="261" t="s">
        <v>316</v>
      </c>
      <c r="F14" s="262"/>
      <c r="G14" s="262"/>
      <c r="H14" s="262"/>
      <c r="I14" s="263"/>
      <c r="J14" s="2012"/>
      <c r="K14" s="2011"/>
      <c r="L14" s="2011"/>
      <c r="M14" s="2011"/>
      <c r="N14" s="2011"/>
      <c r="O14" s="2011"/>
      <c r="P14" s="2011"/>
      <c r="Q14" s="2011"/>
      <c r="R14" s="2011"/>
      <c r="S14" s="2011"/>
      <c r="T14" s="2011"/>
      <c r="U14" s="2011"/>
      <c r="V14" s="2011"/>
    </row>
    <row r="15" spans="1:22" ht="13.8">
      <c r="A15" s="3466"/>
      <c r="B15" s="3467"/>
      <c r="C15" s="3476"/>
      <c r="D15" s="3478"/>
      <c r="E15" s="261" t="s">
        <v>317</v>
      </c>
      <c r="F15" s="262"/>
      <c r="G15" s="262"/>
      <c r="H15" s="262"/>
      <c r="I15" s="263"/>
      <c r="J15" s="2012"/>
      <c r="K15" s="2011"/>
      <c r="L15" s="2011"/>
      <c r="M15" s="2011"/>
      <c r="N15" s="2011"/>
      <c r="O15" s="2011"/>
      <c r="P15" s="2011"/>
      <c r="Q15" s="2011"/>
      <c r="R15" s="2011"/>
      <c r="S15" s="2011"/>
      <c r="T15" s="2011"/>
      <c r="U15" s="2011"/>
      <c r="V15" s="2011"/>
    </row>
    <row r="16" spans="1:22" ht="13.8">
      <c r="A16" s="3466"/>
      <c r="B16" s="3467"/>
      <c r="C16" s="3477"/>
      <c r="D16" s="3478"/>
      <c r="E16" s="261" t="s">
        <v>318</v>
      </c>
      <c r="F16" s="262"/>
      <c r="G16" s="262"/>
      <c r="H16" s="262"/>
      <c r="I16" s="263"/>
      <c r="J16" s="2012"/>
      <c r="K16" s="2011"/>
      <c r="L16" s="2011"/>
      <c r="M16" s="2011"/>
      <c r="N16" s="2011"/>
      <c r="O16" s="2011"/>
      <c r="P16" s="2011"/>
      <c r="Q16" s="2011"/>
      <c r="R16" s="2011"/>
      <c r="S16" s="2011"/>
      <c r="T16" s="2011"/>
      <c r="U16" s="2011"/>
      <c r="V16" s="2011"/>
    </row>
    <row r="17" spans="1:26" ht="14.4">
      <c r="A17" s="264" t="s">
        <v>319</v>
      </c>
      <c r="B17" s="144"/>
      <c r="C17" s="265">
        <f>SUM(C5:C16)</f>
        <v>5</v>
      </c>
      <c r="D17" s="265">
        <f>SUM(D5:D16)</f>
        <v>5</v>
      </c>
      <c r="E17" s="311"/>
      <c r="F17" s="311"/>
      <c r="G17" s="311"/>
      <c r="H17" s="311"/>
      <c r="I17" s="311"/>
      <c r="J17" s="2012"/>
      <c r="K17" s="2011"/>
      <c r="L17" s="2011"/>
      <c r="M17" s="2011"/>
      <c r="N17" s="2011"/>
      <c r="O17" s="2011"/>
      <c r="P17" s="2011"/>
      <c r="Q17" s="2011"/>
      <c r="R17" s="2011"/>
      <c r="S17" s="2011"/>
      <c r="T17" s="2011"/>
      <c r="U17" s="2011"/>
      <c r="V17" s="2011"/>
    </row>
    <row r="18" spans="1:26" ht="15" thickBot="1">
      <c r="A18" s="266" t="s">
        <v>320</v>
      </c>
      <c r="B18" s="105"/>
      <c r="C18" s="267">
        <f>ROUND(C17/SUM(C17:D17),2)</f>
        <v>0.5</v>
      </c>
      <c r="D18" s="267">
        <f>1-C18</f>
        <v>0.5</v>
      </c>
      <c r="E18" s="311"/>
      <c r="F18" s="311"/>
      <c r="G18" s="311"/>
      <c r="H18" s="311"/>
      <c r="I18" s="311"/>
      <c r="J18" s="2011"/>
      <c r="K18" s="2011"/>
      <c r="L18" s="2011"/>
      <c r="M18" s="2011"/>
      <c r="N18" s="2011"/>
      <c r="O18" s="2011"/>
      <c r="P18" s="2011"/>
      <c r="Q18" s="2011"/>
      <c r="R18" s="2011"/>
      <c r="S18" s="2011"/>
      <c r="T18" s="2011"/>
      <c r="U18" s="2011"/>
      <c r="V18" s="2011"/>
    </row>
    <row r="19" spans="1:26" ht="14.4">
      <c r="A19" s="268" t="s">
        <v>321</v>
      </c>
      <c r="B19" s="269" t="s">
        <v>322</v>
      </c>
      <c r="C19" s="270">
        <f ca="1">SUMIF(INDIRECT("'"&amp;C4&amp;"'"&amp;"!A:A"),结果表!B19,INDIRECT("'"&amp;C4&amp;"'"&amp;"!B:B"))</f>
        <v>16601</v>
      </c>
      <c r="D19" s="271">
        <f ca="1">SUMIF(INDIRECT("'"&amp;D4&amp;"'"&amp;"!A:A"),结果表!B19,INDIRECT("'"&amp;D4&amp;"'"&amp;"!B:B"))</f>
        <v>16850</v>
      </c>
      <c r="E19" s="268" t="s">
        <v>323</v>
      </c>
      <c r="F19" s="269" t="s">
        <v>322</v>
      </c>
      <c r="G19" s="272">
        <f ca="1">ROUND(C19*$C$18+D19*$D$18,0)</f>
        <v>16726</v>
      </c>
      <c r="H19" s="273" t="s">
        <v>324</v>
      </c>
      <c r="I19" s="311"/>
      <c r="J19" s="2011"/>
      <c r="K19" s="2011"/>
      <c r="L19" s="2011"/>
      <c r="M19" s="2011"/>
      <c r="N19" s="2011"/>
      <c r="O19" s="2011"/>
      <c r="P19" s="2011"/>
      <c r="Q19" s="2011"/>
      <c r="R19" s="2011"/>
      <c r="S19" s="2011"/>
      <c r="T19" s="2011"/>
      <c r="U19" s="2011"/>
      <c r="V19" s="2011"/>
    </row>
    <row r="20" spans="1:26" ht="14.4">
      <c r="A20" s="274"/>
      <c r="B20" s="275" t="s">
        <v>325</v>
      </c>
      <c r="C20" s="276">
        <f ca="1">SUMIF(INDIRECT("'"&amp;C4&amp;"'"&amp;"!A:A"),结果表!B20,INDIRECT("'"&amp;C4&amp;"'"&amp;"!B:B"))</f>
        <v>989</v>
      </c>
      <c r="D20" s="277">
        <f ca="1">SUMIF(INDIRECT("'"&amp;D4&amp;"'"&amp;"!A:A"),结果表!B20,INDIRECT("'"&amp;D4&amp;"'"&amp;"!B:B"))</f>
        <v>1004</v>
      </c>
      <c r="E20" s="274"/>
      <c r="F20" s="275" t="s">
        <v>325</v>
      </c>
      <c r="G20" s="278">
        <f ca="1">ROUND(C20*$C$18+D20*$D$18,0)</f>
        <v>997</v>
      </c>
      <c r="H20" s="279" t="s">
        <v>326</v>
      </c>
      <c r="I20" s="311"/>
      <c r="J20" s="2011"/>
      <c r="K20" s="2011"/>
      <c r="L20" s="2011"/>
      <c r="M20" s="2011"/>
      <c r="N20" s="2011"/>
      <c r="O20" s="2011"/>
      <c r="P20" s="2011"/>
      <c r="Q20" s="2011"/>
      <c r="R20" s="2011"/>
      <c r="S20" s="2011"/>
      <c r="T20" s="2011"/>
      <c r="U20" s="2011"/>
      <c r="V20" s="2011"/>
    </row>
    <row r="21" spans="1:26" ht="15" customHeight="1">
      <c r="A21" s="274"/>
      <c r="B21" s="280" t="s">
        <v>327</v>
      </c>
      <c r="C21" s="281">
        <f ca="1">SUMIF(INDIRECT("'"&amp;C4&amp;"'"&amp;"!A:A"),结果表!B21,INDIRECT("'"&amp;C4&amp;"'"&amp;"!B:B"))</f>
        <v>7437</v>
      </c>
      <c r="D21" s="151">
        <f ca="1">SUMIF(INDIRECT("'"&amp;D4&amp;"'"&amp;"!A:A"),结果表!B21,INDIRECT("'"&amp;D4&amp;"'"&amp;"!B:B"))</f>
        <v>7548</v>
      </c>
      <c r="E21" s="274"/>
      <c r="F21" s="280" t="s">
        <v>327</v>
      </c>
      <c r="G21" s="282">
        <f ca="1">ROUND(C21*$C$18+D21*$D$18,0)</f>
        <v>7493</v>
      </c>
      <c r="H21" s="1247" t="s">
        <v>326</v>
      </c>
      <c r="I21" s="311"/>
      <c r="J21" s="2011"/>
      <c r="K21" s="3279">
        <f ca="1">C19/('数据-汇总表'!D3/666.67)</f>
        <v>495.79743531161517</v>
      </c>
      <c r="L21" s="3279">
        <f ca="1">D19/('数据-汇总表'!D3/666.67)</f>
        <v>503.2339488585456</v>
      </c>
      <c r="M21" s="2011"/>
      <c r="N21" s="2011"/>
      <c r="O21" s="2011"/>
      <c r="P21" s="2011"/>
      <c r="Q21" s="2011"/>
      <c r="R21" s="2011"/>
      <c r="S21" s="2011"/>
      <c r="T21" s="2011"/>
      <c r="U21" s="2011"/>
      <c r="V21" s="2011"/>
    </row>
    <row r="22" spans="1:26" ht="15" thickBot="1">
      <c r="A22" s="126" t="s">
        <v>328</v>
      </c>
      <c r="B22" s="1248"/>
      <c r="C22" s="1249"/>
      <c r="D22" s="283">
        <f ca="1">IF(C19&lt;D19,D19/C19-1,C19/D19-1)</f>
        <v>1.4999096439973547E-2</v>
      </c>
      <c r="E22" s="284"/>
      <c r="F22" s="285"/>
      <c r="G22" s="286">
        <f ca="1">ROUND(G19/('数据-汇总表'!D3/666.67),0)</f>
        <v>500</v>
      </c>
      <c r="H22" s="287" t="s">
        <v>329</v>
      </c>
      <c r="I22" s="311"/>
      <c r="J22" s="2011"/>
      <c r="K22" s="2011"/>
      <c r="L22" s="2011"/>
      <c r="M22" s="2011"/>
      <c r="N22" s="2011"/>
      <c r="O22" s="2011"/>
      <c r="P22" s="2011"/>
      <c r="Q22" s="2011"/>
      <c r="R22" s="2011"/>
      <c r="S22" s="2011"/>
      <c r="T22" s="2011"/>
      <c r="U22" s="2011"/>
      <c r="V22" s="2011"/>
    </row>
    <row r="23" spans="1:26" ht="13.8" thickBot="1">
      <c r="A23" s="311"/>
      <c r="B23" s="311"/>
      <c r="C23" s="311"/>
      <c r="D23" s="311"/>
      <c r="E23" s="311"/>
      <c r="F23" s="311"/>
      <c r="G23" s="311"/>
      <c r="H23" s="311"/>
      <c r="I23" s="311"/>
      <c r="J23" s="2011"/>
      <c r="K23" s="2011"/>
      <c r="L23" s="2011"/>
      <c r="M23" s="2011"/>
      <c r="N23" s="2011"/>
      <c r="O23" s="2011"/>
      <c r="P23" s="2011"/>
      <c r="Q23" s="2011"/>
      <c r="R23" s="2011"/>
      <c r="S23" s="2011"/>
      <c r="T23" s="2011"/>
      <c r="U23" s="2011"/>
      <c r="V23" s="2011"/>
    </row>
    <row r="24" spans="1:26" ht="15" thickBot="1">
      <c r="A24" s="3439" t="s">
        <v>330</v>
      </c>
      <c r="B24" s="269" t="s">
        <v>322</v>
      </c>
      <c r="C24" s="288">
        <f>IF(B30=0,0,D30)</f>
        <v>0</v>
      </c>
      <c r="D24" s="289"/>
      <c r="E24" s="311"/>
      <c r="F24" s="311"/>
      <c r="G24" s="311"/>
      <c r="H24" s="311"/>
      <c r="I24" s="311"/>
      <c r="J24" s="2011"/>
      <c r="K24" s="2011"/>
      <c r="L24" s="2011"/>
      <c r="M24" s="2011"/>
      <c r="N24" s="2011"/>
      <c r="O24" s="2011"/>
      <c r="P24" s="2011"/>
      <c r="Q24" s="2011"/>
      <c r="R24" s="2011"/>
      <c r="S24" s="2011"/>
      <c r="T24" s="2011"/>
      <c r="U24" s="2011"/>
      <c r="V24" s="2011"/>
    </row>
    <row r="25" spans="1:26" ht="17.399999999999999">
      <c r="A25" s="3481"/>
      <c r="B25" s="1317" t="s">
        <v>331</v>
      </c>
      <c r="C25" s="290">
        <f>IF(B30=0,0,C30)</f>
        <v>0</v>
      </c>
      <c r="D25" s="291"/>
      <c r="E25" s="311"/>
      <c r="F25" s="311"/>
      <c r="G25" s="311"/>
      <c r="H25" s="311"/>
      <c r="I25" s="311"/>
      <c r="J25" s="2011"/>
      <c r="K25" s="1251" t="str">
        <f ca="1">项目基本情况!B16&amp;"国有建设用地使用权价格："&amp;O38&amp;"万元"</f>
        <v>出让国有建设用地使用权价格：16726万元</v>
      </c>
      <c r="L25" s="1252"/>
      <c r="M25" s="1252"/>
      <c r="N25" s="1252"/>
      <c r="O25" s="1253"/>
      <c r="P25" s="2011"/>
      <c r="Q25" s="2011"/>
      <c r="R25" s="2011"/>
      <c r="S25" s="2011"/>
      <c r="T25" s="2011"/>
      <c r="U25" s="2011"/>
      <c r="V25" s="2011"/>
    </row>
    <row r="26" spans="1:26" s="1250" customFormat="1" ht="17.399999999999999">
      <c r="A26" s="293" t="s">
        <v>332</v>
      </c>
      <c r="B26" s="294" t="s">
        <v>333</v>
      </c>
      <c r="C26" s="294" t="s">
        <v>334</v>
      </c>
      <c r="D26" s="295" t="s">
        <v>335</v>
      </c>
      <c r="E26" s="311"/>
      <c r="F26" s="311"/>
      <c r="G26" s="311"/>
      <c r="H26" s="311"/>
      <c r="I26" s="311"/>
      <c r="J26" s="2011"/>
      <c r="K26" s="1254" t="str">
        <f ca="1">"大写金额：人民币"&amp;NUMBERSTRING(INT(O38*10000),2)&amp;"元整"</f>
        <v>大写金额：人民币壹亿陆仟柒佰贰拾陆万元整</v>
      </c>
      <c r="L26" s="1248"/>
      <c r="M26" s="1248"/>
      <c r="N26" s="1248"/>
      <c r="O26" s="1247"/>
      <c r="P26" s="2011"/>
      <c r="Q26" s="2011"/>
      <c r="R26" s="2011"/>
      <c r="S26" s="2011"/>
      <c r="T26" s="2011"/>
      <c r="U26" s="2011"/>
      <c r="V26" s="2011"/>
      <c r="W26" s="292"/>
      <c r="X26" s="292"/>
      <c r="Y26" s="292"/>
      <c r="Z26" s="292"/>
    </row>
    <row r="27" spans="1:26" ht="17.399999999999999">
      <c r="A27" s="293"/>
      <c r="B27" s="294"/>
      <c r="C27" s="294"/>
      <c r="D27" s="295"/>
      <c r="E27" s="311"/>
      <c r="F27" s="311"/>
      <c r="G27" s="311"/>
      <c r="H27" s="311"/>
      <c r="I27" s="311"/>
      <c r="J27" s="2011"/>
      <c r="K27" s="1254" t="str">
        <f ca="1">"单位面积地价："&amp;M38&amp;"元/平方米"</f>
        <v>单位面积地价：7493元/平方米</v>
      </c>
      <c r="L27" s="1248"/>
      <c r="M27" s="1248"/>
      <c r="N27" s="1248"/>
      <c r="O27" s="1247"/>
      <c r="P27" s="2011"/>
      <c r="Q27" s="2011"/>
      <c r="R27" s="2011"/>
      <c r="S27" s="2011"/>
      <c r="T27" s="2011"/>
      <c r="U27" s="2011"/>
      <c r="V27" s="2011"/>
    </row>
    <row r="28" spans="1:26" ht="18.75" customHeight="1">
      <c r="A28" s="293"/>
      <c r="B28" s="294"/>
      <c r="C28" s="294"/>
      <c r="D28" s="295"/>
      <c r="E28" s="311"/>
      <c r="F28" s="311"/>
      <c r="G28" s="311"/>
      <c r="H28" s="311"/>
      <c r="I28" s="311"/>
      <c r="J28" s="2011"/>
      <c r="K28" s="1254" t="str">
        <f ca="1">"楼面地价："&amp;N38&amp;"元/平方米"</f>
        <v>楼面地价：996元/平方米</v>
      </c>
      <c r="L28" s="1248"/>
      <c r="M28" s="1248"/>
      <c r="N28" s="1248"/>
      <c r="O28" s="1247"/>
      <c r="P28" s="2011"/>
      <c r="V28" s="2011"/>
    </row>
    <row r="29" spans="1:26" ht="17.399999999999999">
      <c r="A29" s="293"/>
      <c r="B29" s="294"/>
      <c r="C29" s="294"/>
      <c r="D29" s="295"/>
      <c r="E29" s="311"/>
      <c r="F29" s="311"/>
      <c r="G29" s="311"/>
      <c r="H29" s="311"/>
      <c r="I29" s="311"/>
      <c r="J29" s="2011"/>
      <c r="K29" s="1254" t="str">
        <f ca="1">IF(OR(项目基本情况!E8="抵押价格",项目基本情况!E8="已注销及未注销"),"抵押价格："&amp;O39&amp;"万元","——")</f>
        <v>抵押价格：16726万元</v>
      </c>
      <c r="L29" s="1248"/>
      <c r="M29" s="1248"/>
      <c r="N29" s="1248"/>
      <c r="O29" s="1247"/>
      <c r="P29" s="2011"/>
      <c r="V29" s="2011"/>
    </row>
    <row r="30" spans="1:26" ht="18" thickBot="1">
      <c r="A30" s="3076" t="s">
        <v>336</v>
      </c>
      <c r="B30" s="309"/>
      <c r="C30" s="309"/>
      <c r="D30" s="310"/>
      <c r="E30" s="3077" t="s">
        <v>2961</v>
      </c>
      <c r="F30" s="311"/>
      <c r="G30" s="311"/>
      <c r="H30" s="311"/>
      <c r="I30" s="311"/>
      <c r="J30" s="2011"/>
      <c r="K30" s="1254" t="str">
        <f ca="1">IF(K29="——","——","大写金额：人民币"&amp;NUMBERSTRING(INT(O39*10000),2)&amp;"元整")</f>
        <v>大写金额：人民币壹亿陆仟柒佰贰拾陆万元整</v>
      </c>
      <c r="L30" s="1248"/>
      <c r="M30" s="1248"/>
      <c r="N30" s="1248"/>
      <c r="O30" s="1247"/>
      <c r="P30" s="2011"/>
      <c r="V30" s="2011"/>
    </row>
    <row r="31" spans="1:26" ht="24" customHeight="1" thickBot="1">
      <c r="A31" s="311"/>
      <c r="B31" s="311"/>
      <c r="C31" s="311"/>
      <c r="D31" s="311"/>
      <c r="E31" s="311"/>
      <c r="F31" s="311"/>
      <c r="G31" s="311"/>
      <c r="H31" s="311"/>
      <c r="I31" s="311"/>
      <c r="J31" s="2011"/>
      <c r="K31" s="2430" t="str">
        <f>IF(项目基本情况!E8="抵押价格","——","抵押担保权已注销时的抵押价格："&amp;O40&amp;"万元")</f>
        <v>——</v>
      </c>
      <c r="L31" s="2426"/>
      <c r="M31" s="2426"/>
      <c r="N31" s="2426"/>
      <c r="O31" s="2427"/>
      <c r="P31" s="2011"/>
      <c r="V31" s="2011"/>
    </row>
    <row r="32" spans="1:26" ht="18" thickBot="1">
      <c r="A32" s="268" t="s">
        <v>337</v>
      </c>
      <c r="B32" s="1377" t="s">
        <v>1687</v>
      </c>
      <c r="C32" s="1378">
        <f ca="1">G19-C24</f>
        <v>16726</v>
      </c>
      <c r="D32" s="1379" t="s">
        <v>1688</v>
      </c>
      <c r="E32" s="311"/>
      <c r="F32" s="311"/>
      <c r="G32" s="311"/>
      <c r="H32" s="311"/>
      <c r="I32" s="311"/>
      <c r="J32" s="2011"/>
      <c r="K32" s="2425" t="str">
        <f>IF(K31="——","——","大写金额：人民币"&amp;NUMBERSTRING(INT(O40*10000),2)&amp;"元整")</f>
        <v>——</v>
      </c>
      <c r="L32" s="2428"/>
      <c r="M32" s="2428"/>
      <c r="N32" s="2428"/>
      <c r="O32" s="2429"/>
      <c r="P32" s="2011"/>
      <c r="V32" s="2011"/>
    </row>
    <row r="33" spans="1:26" ht="18" thickBot="1">
      <c r="A33" s="298" t="s">
        <v>340</v>
      </c>
      <c r="B33" s="1380" t="s">
        <v>1689</v>
      </c>
      <c r="C33" s="264">
        <f ca="1">ROUND(C32*10000/'数据-汇总表'!E3,0)</f>
        <v>996</v>
      </c>
      <c r="D33" s="1381" t="s">
        <v>1690</v>
      </c>
      <c r="E33" s="3439" t="s">
        <v>338</v>
      </c>
      <c r="F33" s="296" t="s">
        <v>339</v>
      </c>
      <c r="G33" s="297"/>
      <c r="H33" s="980"/>
      <c r="I33" s="1255"/>
      <c r="J33" s="2011"/>
      <c r="K33" s="1254" t="str">
        <f>IF(项目基本情况!E9="——","——","抵押净值："&amp;C46&amp;"万元")</f>
        <v>抵押净值：——万元</v>
      </c>
      <c r="L33" s="1248"/>
      <c r="M33" s="1248"/>
      <c r="N33" s="1248"/>
      <c r="O33" s="1247"/>
      <c r="P33" s="2011"/>
      <c r="V33" s="2011"/>
    </row>
    <row r="34" spans="1:26" s="1250" customFormat="1" ht="18" thickBot="1">
      <c r="A34" s="300"/>
      <c r="B34" s="1382" t="s">
        <v>1691</v>
      </c>
      <c r="C34" s="264">
        <f ca="1">ROUND(C32*10000/'数据-汇总表'!D3,0)</f>
        <v>7493</v>
      </c>
      <c r="D34" s="1383" t="s">
        <v>1690</v>
      </c>
      <c r="E34" s="3440"/>
      <c r="F34" s="127" t="s">
        <v>341</v>
      </c>
      <c r="G34" s="299"/>
      <c r="H34" s="105"/>
      <c r="I34" s="311"/>
      <c r="J34" s="2011"/>
      <c r="K34" s="1257" t="e">
        <f>IF(K33="——","——","大写金额：人民币"&amp;NUMBERSTRING(INT(O41*10000),2)&amp;"元整")</f>
        <v>#VALUE!</v>
      </c>
      <c r="L34" s="1258"/>
      <c r="M34" s="1258"/>
      <c r="N34" s="1258"/>
      <c r="O34" s="1259"/>
      <c r="P34" s="2011"/>
      <c r="Q34" s="292"/>
      <c r="R34" s="292"/>
      <c r="S34" s="292"/>
      <c r="T34" s="292"/>
      <c r="U34" s="292"/>
      <c r="V34" s="2011"/>
      <c r="W34" s="292"/>
      <c r="X34" s="292"/>
      <c r="Y34" s="292"/>
      <c r="Z34" s="292"/>
    </row>
    <row r="35" spans="1:26" ht="15" thickBot="1">
      <c r="A35" s="284"/>
      <c r="B35" s="1384"/>
      <c r="C35" s="1385">
        <f ca="1">ROUND(C32/('数据-汇总表'!D3/666.67),0)</f>
        <v>500</v>
      </c>
      <c r="D35" s="1386" t="s">
        <v>1692</v>
      </c>
      <c r="E35" s="3441"/>
      <c r="F35" s="301" t="s">
        <v>342</v>
      </c>
      <c r="G35" s="982"/>
      <c r="H35" s="981" t="s">
        <v>343</v>
      </c>
      <c r="I35" s="311"/>
      <c r="J35" s="2011"/>
      <c r="K35" s="3445" t="s">
        <v>350</v>
      </c>
      <c r="L35" s="3445" t="s">
        <v>351</v>
      </c>
      <c r="M35" s="1260" t="s">
        <v>352</v>
      </c>
      <c r="N35" s="3445" t="s">
        <v>353</v>
      </c>
      <c r="O35" s="3445" t="s">
        <v>354</v>
      </c>
      <c r="P35" s="2011"/>
      <c r="V35" s="2011"/>
    </row>
    <row r="36" spans="1:26" ht="16.5" customHeight="1">
      <c r="A36" s="303" t="s">
        <v>344</v>
      </c>
      <c r="B36" s="304" t="s">
        <v>333</v>
      </c>
      <c r="C36" s="305" t="s">
        <v>345</v>
      </c>
      <c r="D36" s="305" t="s">
        <v>346</v>
      </c>
      <c r="E36" s="306" t="s">
        <v>347</v>
      </c>
      <c r="F36" s="311"/>
      <c r="G36" s="311"/>
      <c r="H36" s="311"/>
      <c r="I36" s="311"/>
      <c r="J36" s="2013"/>
      <c r="K36" s="3446"/>
      <c r="L36" s="3446"/>
      <c r="M36" s="1262" t="s">
        <v>355</v>
      </c>
      <c r="N36" s="3446"/>
      <c r="O36" s="3446"/>
      <c r="P36" s="2011"/>
      <c r="V36" s="2011"/>
    </row>
    <row r="37" spans="1:26" ht="16.5" customHeight="1" thickBot="1">
      <c r="A37" s="1256" t="s">
        <v>348</v>
      </c>
      <c r="B37" s="307"/>
      <c r="C37" s="294"/>
      <c r="D37" s="294"/>
      <c r="E37" s="295"/>
      <c r="F37" s="311"/>
      <c r="G37" s="311"/>
      <c r="H37" s="311"/>
      <c r="I37" s="311"/>
      <c r="J37" s="2013"/>
      <c r="K37" s="3447"/>
      <c r="L37" s="3447"/>
      <c r="M37" s="1263"/>
      <c r="N37" s="3447"/>
      <c r="O37" s="3447"/>
      <c r="P37" s="2011"/>
      <c r="V37" s="2011"/>
    </row>
    <row r="38" spans="1:26" ht="16.5" customHeight="1" thickBot="1">
      <c r="A38" s="1256" t="s">
        <v>349</v>
      </c>
      <c r="B38" s="307"/>
      <c r="C38" s="294"/>
      <c r="D38" s="294"/>
      <c r="E38" s="295"/>
      <c r="F38" s="311"/>
      <c r="G38" s="311"/>
      <c r="H38" s="311"/>
      <c r="I38" s="311"/>
      <c r="J38" s="2013"/>
      <c r="K38" s="1264">
        <f>'数据-汇总表'!D3</f>
        <v>22322.400000000001</v>
      </c>
      <c r="L38" s="1265">
        <f>'数据-汇总表'!E3</f>
        <v>167887.58000000002</v>
      </c>
      <c r="M38" s="1265">
        <f ca="1">C34</f>
        <v>7493</v>
      </c>
      <c r="N38" s="1265">
        <f ca="1">C33</f>
        <v>996</v>
      </c>
      <c r="O38" s="1266">
        <f ca="1">C32</f>
        <v>16726</v>
      </c>
      <c r="P38" s="2011"/>
      <c r="V38" s="2011"/>
    </row>
    <row r="39" spans="1:26" ht="16.5" customHeight="1" thickBot="1">
      <c r="A39" s="1261"/>
      <c r="B39" s="308"/>
      <c r="C39" s="309"/>
      <c r="D39" s="309"/>
      <c r="E39" s="310"/>
      <c r="F39" s="311"/>
      <c r="G39" s="311"/>
      <c r="H39" s="311"/>
      <c r="I39" s="311"/>
      <c r="J39" s="2013"/>
      <c r="K39" s="3422" t="str">
        <f>MID(A44,3,LEN(A44)-2)</f>
        <v>抵押价格</v>
      </c>
      <c r="L39" s="3423"/>
      <c r="M39" s="3423"/>
      <c r="N39" s="3424"/>
      <c r="O39" s="1388">
        <f ca="1">C44</f>
        <v>16726</v>
      </c>
      <c r="P39" s="2011"/>
      <c r="V39" s="2011"/>
    </row>
    <row r="40" spans="1:26" ht="18" thickBot="1">
      <c r="A40" s="104" t="s">
        <v>873</v>
      </c>
      <c r="B40" s="311"/>
      <c r="C40" s="311"/>
      <c r="D40" s="311"/>
      <c r="E40" s="311"/>
      <c r="F40" s="311"/>
      <c r="G40" s="311"/>
      <c r="H40" s="311"/>
      <c r="I40" s="311"/>
      <c r="J40" s="2013"/>
      <c r="K40" s="3422" t="str">
        <f t="shared" ref="K40:K41" si="0">MID(A45,3,LEN(A45)-2)</f>
        <v/>
      </c>
      <c r="L40" s="3423"/>
      <c r="M40" s="3423"/>
      <c r="N40" s="3424"/>
      <c r="O40" s="1388" t="str">
        <f>C45</f>
        <v>——</v>
      </c>
      <c r="P40" s="2011"/>
      <c r="V40" s="2011"/>
    </row>
    <row r="41" spans="1:26" ht="16.2" thickBot="1">
      <c r="A41" s="312" t="s">
        <v>356</v>
      </c>
      <c r="B41" s="313"/>
      <c r="C41" s="314" t="s">
        <v>357</v>
      </c>
      <c r="D41" s="315" t="s">
        <v>358</v>
      </c>
      <c r="E41" s="315" t="s">
        <v>359</v>
      </c>
      <c r="F41" s="316" t="s">
        <v>360</v>
      </c>
      <c r="G41" s="311"/>
      <c r="H41" s="311"/>
      <c r="I41" s="311"/>
      <c r="J41" s="2013"/>
      <c r="K41" s="3422" t="str">
        <f t="shared" si="0"/>
        <v/>
      </c>
      <c r="L41" s="3423"/>
      <c r="M41" s="3423"/>
      <c r="N41" s="3424"/>
      <c r="O41" s="1388" t="str">
        <f>C46</f>
        <v>——</v>
      </c>
      <c r="P41" s="2011"/>
      <c r="V41" s="2011"/>
    </row>
    <row r="42" spans="1:26" ht="31.2">
      <c r="A42" s="3482" t="s">
        <v>2064</v>
      </c>
      <c r="B42" s="3483"/>
      <c r="C42" s="264">
        <f ca="1">C32</f>
        <v>16726</v>
      </c>
      <c r="D42" s="317">
        <f ca="1">C33</f>
        <v>996</v>
      </c>
      <c r="E42" s="317">
        <f ca="1">C34</f>
        <v>7493</v>
      </c>
      <c r="F42" s="318">
        <f ca="1">C35</f>
        <v>500</v>
      </c>
      <c r="G42" s="311"/>
      <c r="H42" s="311"/>
      <c r="I42" s="319"/>
      <c r="J42" s="2013"/>
      <c r="K42" s="1267" t="s">
        <v>361</v>
      </c>
      <c r="L42" s="2030" t="s">
        <v>362</v>
      </c>
      <c r="M42" s="1268" t="s">
        <v>363</v>
      </c>
      <c r="N42" s="2031" t="s">
        <v>364</v>
      </c>
      <c r="O42" s="2032" t="s">
        <v>365</v>
      </c>
      <c r="P42" s="2011"/>
      <c r="V42" s="2011"/>
    </row>
    <row r="43" spans="1:26" ht="30">
      <c r="A43" s="3492" t="s">
        <v>2726</v>
      </c>
      <c r="B43" s="3493"/>
      <c r="C43" s="264">
        <f>IF(H33="正常操作",G33+G34+G35,G34+G35)</f>
        <v>0</v>
      </c>
      <c r="D43" s="317" t="s">
        <v>43</v>
      </c>
      <c r="E43" s="317" t="s">
        <v>44</v>
      </c>
      <c r="F43" s="318" t="s">
        <v>44</v>
      </c>
      <c r="G43" s="2819" t="s">
        <v>952</v>
      </c>
      <c r="H43" s="311"/>
      <c r="I43" s="319"/>
      <c r="J43" s="2013"/>
      <c r="K43" s="1269" t="str">
        <f>C4</f>
        <v>比较法-住宅、综合</v>
      </c>
      <c r="L43" s="1270">
        <f ca="1">IF(L42="估价结果/万元",C19,C20)</f>
        <v>16601</v>
      </c>
      <c r="M43" s="1271">
        <f>C18</f>
        <v>0.5</v>
      </c>
      <c r="N43" s="1272">
        <f ca="1">IF(N42="测算结果/万元",G19,G20)</f>
        <v>16726</v>
      </c>
      <c r="O43" s="1273">
        <f ca="1">IF(O42="最终结果/万元",C32,C33)</f>
        <v>16726</v>
      </c>
      <c r="P43" s="2011"/>
      <c r="V43" s="2011"/>
    </row>
    <row r="44" spans="1:26" ht="30.6" thickBot="1">
      <c r="A44" s="3482" t="str">
        <f>IF(OR(项目基本情况!E8="抵押价格",项目基本情况!E8="已注销及未注销"),"3.抵押价格","——")</f>
        <v>3.抵押价格</v>
      </c>
      <c r="B44" s="3483"/>
      <c r="C44" s="264">
        <f ca="1">IF(A44="——","——",C42-C43)</f>
        <v>16726</v>
      </c>
      <c r="D44" s="317">
        <f ca="1">ROUND(C44*10000/'数据-汇总表'!E3,0)</f>
        <v>996</v>
      </c>
      <c r="E44" s="317">
        <f ca="1">ROUND(C44*10000/'数据-汇总表'!D3,0)</f>
        <v>7493</v>
      </c>
      <c r="F44" s="318">
        <f ca="1">ROUND(C44/('数据-汇总表'!D3/666.67),0)</f>
        <v>500</v>
      </c>
      <c r="G44" s="311"/>
      <c r="H44" s="311"/>
      <c r="I44" s="319"/>
      <c r="J44" s="2013"/>
      <c r="K44" s="1274" t="str">
        <f>D4</f>
        <v>剩余法-待开发</v>
      </c>
      <c r="L44" s="1275">
        <f ca="1">IF(L42="估价结果/万元",D19,D20)</f>
        <v>16850</v>
      </c>
      <c r="M44" s="1276">
        <f>D18</f>
        <v>0.5</v>
      </c>
      <c r="N44" s="1277"/>
      <c r="O44" s="1278"/>
      <c r="P44" s="2011"/>
      <c r="V44" s="2011"/>
    </row>
    <row r="45" spans="1:26" ht="13.8">
      <c r="A45" s="3487" t="str">
        <f>IF(项目基本情况!E8="已注销及未注销","4.抵押担保权已注销时的抵押价格",IF(项目基本情况!E8="已注销","3.抵押担保权已注销时的抵押价格","——"))</f>
        <v>——</v>
      </c>
      <c r="B45" s="3488"/>
      <c r="C45" s="1786"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3"/>
      <c r="K45" s="2011"/>
      <c r="L45" s="2011"/>
      <c r="M45" s="2011"/>
      <c r="N45" s="2011"/>
      <c r="O45" s="2011"/>
      <c r="P45" s="2011"/>
      <c r="V45" s="2011"/>
    </row>
    <row r="46" spans="1:26" ht="14.4" thickBot="1">
      <c r="A46" s="3484" t="str">
        <f>IF(项目基本情况!E9="抵押净值",IF(A45="——","4.抵押净值","5.抵押净值"),"——")</f>
        <v>——</v>
      </c>
      <c r="B46" s="3485"/>
      <c r="C46" s="320" t="str">
        <f>IF(A46="——","——",O79)</f>
        <v>——</v>
      </c>
      <c r="D46" s="317" t="e">
        <f>ROUND(C46*10000/'数据-汇总表'!E3,0)</f>
        <v>#VALUE!</v>
      </c>
      <c r="E46" s="317" t="e">
        <f>ROUND(C46*10000/'数据-汇总表'!D3,0)</f>
        <v>#VALUE!</v>
      </c>
      <c r="F46" s="318" t="e">
        <f>ROUND(C46/('数据-汇总表'!D3/666.67),0)</f>
        <v>#VALUE!</v>
      </c>
      <c r="G46" s="311"/>
      <c r="H46" s="311"/>
      <c r="I46" s="319"/>
      <c r="J46" s="2013"/>
      <c r="K46" s="2011"/>
      <c r="L46" s="2011"/>
      <c r="M46" s="2011"/>
      <c r="N46" s="2011"/>
      <c r="O46" s="2011"/>
      <c r="P46" s="2011"/>
      <c r="Q46" s="2011"/>
      <c r="R46" s="2011"/>
      <c r="S46" s="2011"/>
      <c r="T46" s="2011"/>
      <c r="U46" s="2011"/>
      <c r="V46" s="2011"/>
    </row>
    <row r="47" spans="1:26" ht="15.6">
      <c r="A47" s="321" t="s">
        <v>366</v>
      </c>
      <c r="B47" s="1279"/>
      <c r="C47" s="322" t="s">
        <v>367</v>
      </c>
      <c r="D47" s="323"/>
      <c r="E47" s="323"/>
      <c r="F47" s="323"/>
      <c r="G47" s="324"/>
      <c r="H47" s="325"/>
      <c r="I47" s="326"/>
      <c r="J47" s="2013"/>
      <c r="K47" s="311"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3.2">
      <c r="A48" s="327">
        <v>1</v>
      </c>
      <c r="B48" s="328"/>
      <c r="C48" s="328"/>
      <c r="D48" s="323"/>
      <c r="E48" s="323"/>
      <c r="F48" s="323"/>
      <c r="G48" s="323"/>
      <c r="H48" s="329"/>
      <c r="I48" s="330"/>
      <c r="J48" s="2013"/>
      <c r="K48" s="2011"/>
      <c r="L48" s="2011"/>
      <c r="M48" s="2011"/>
      <c r="N48" s="2011"/>
      <c r="O48" s="2011"/>
      <c r="P48" s="2011"/>
      <c r="Q48" s="2011"/>
      <c r="R48" s="2011"/>
      <c r="S48" s="2011"/>
      <c r="T48" s="2011"/>
      <c r="U48" s="2011"/>
      <c r="V48" s="2011"/>
    </row>
    <row r="49" spans="1:22" ht="13.2">
      <c r="A49" s="327">
        <v>2</v>
      </c>
      <c r="B49" s="328"/>
      <c r="C49" s="328"/>
      <c r="D49" s="323"/>
      <c r="E49" s="323"/>
      <c r="F49" s="323"/>
      <c r="G49" s="323"/>
      <c r="H49" s="329"/>
      <c r="I49" s="330"/>
      <c r="J49" s="2014"/>
      <c r="K49" s="2011"/>
      <c r="L49" s="2011"/>
      <c r="M49" s="2011"/>
      <c r="N49" s="2011"/>
      <c r="O49" s="2011"/>
      <c r="P49" s="2011"/>
      <c r="Q49" s="2011"/>
      <c r="R49" s="2011"/>
      <c r="S49" s="2011"/>
      <c r="T49" s="2011"/>
      <c r="U49" s="2011"/>
      <c r="V49" s="2011"/>
    </row>
    <row r="50" spans="1:22" ht="13.2">
      <c r="A50" s="327">
        <v>3</v>
      </c>
      <c r="B50" s="328"/>
      <c r="C50" s="328"/>
      <c r="D50" s="323"/>
      <c r="E50" s="323"/>
      <c r="F50" s="323"/>
      <c r="G50" s="323"/>
      <c r="H50" s="329"/>
      <c r="I50" s="330"/>
      <c r="J50" s="2014"/>
      <c r="K50" s="2011"/>
      <c r="L50" s="2011"/>
      <c r="M50" s="2011"/>
      <c r="N50" s="2011"/>
      <c r="O50" s="2011"/>
      <c r="P50" s="2011"/>
      <c r="Q50" s="2011"/>
      <c r="R50" s="2011"/>
      <c r="S50" s="2011"/>
      <c r="T50" s="2011"/>
      <c r="U50" s="2011"/>
      <c r="V50" s="2011"/>
    </row>
    <row r="51" spans="1:22" ht="13.2">
      <c r="A51" s="331"/>
      <c r="B51" s="332"/>
      <c r="C51" s="332"/>
      <c r="D51" s="333"/>
      <c r="E51" s="333"/>
      <c r="F51" s="333"/>
      <c r="G51" s="333"/>
      <c r="H51" s="334"/>
      <c r="I51" s="335"/>
      <c r="J51" s="2014"/>
      <c r="K51" s="2011"/>
      <c r="L51" s="2011"/>
      <c r="M51" s="2011"/>
      <c r="N51" s="2011"/>
      <c r="O51" s="2011"/>
      <c r="P51" s="2011"/>
      <c r="Q51" s="2011"/>
      <c r="R51" s="2011"/>
      <c r="S51" s="2011"/>
      <c r="T51" s="2011"/>
      <c r="U51" s="2011"/>
      <c r="V51" s="2011"/>
    </row>
    <row r="52" spans="1:22" ht="13.2">
      <c r="A52" s="328"/>
      <c r="B52" s="328"/>
      <c r="C52" s="328"/>
      <c r="D52" s="323"/>
      <c r="E52" s="323"/>
      <c r="F52" s="323"/>
      <c r="G52" s="323"/>
      <c r="H52" s="329"/>
      <c r="I52" s="257"/>
      <c r="J52" s="2014"/>
      <c r="K52" s="2011"/>
      <c r="L52" s="2011"/>
      <c r="M52" s="2011"/>
      <c r="N52" s="2011"/>
      <c r="O52" s="2011"/>
      <c r="P52" s="2011"/>
      <c r="Q52" s="2011"/>
      <c r="R52" s="2011"/>
      <c r="S52" s="2011"/>
      <c r="T52" s="2011"/>
      <c r="U52" s="2011"/>
      <c r="V52" s="2011"/>
    </row>
    <row r="53" spans="1:22" ht="13.2">
      <c r="A53" s="257"/>
      <c r="B53" s="257"/>
      <c r="C53" s="257"/>
      <c r="D53" s="257"/>
      <c r="E53" s="257"/>
      <c r="F53" s="336" t="s">
        <v>368</v>
      </c>
      <c r="G53" s="337"/>
      <c r="H53" s="337"/>
      <c r="I53" s="338" t="s">
        <v>369</v>
      </c>
      <c r="J53" s="2014"/>
      <c r="K53" s="2011"/>
      <c r="L53" s="2011"/>
      <c r="M53" s="2011"/>
      <c r="N53" s="2011"/>
      <c r="O53" s="2011"/>
      <c r="P53" s="2011"/>
      <c r="Q53" s="2011"/>
      <c r="R53" s="2011"/>
      <c r="S53" s="2011"/>
      <c r="T53" s="2011"/>
      <c r="U53" s="2011"/>
      <c r="V53" s="2011"/>
    </row>
    <row r="54" spans="1:22" ht="13.2">
      <c r="A54" s="257"/>
      <c r="B54" s="339" t="s">
        <v>370</v>
      </c>
      <c r="C54" s="257"/>
      <c r="D54" s="257"/>
      <c r="E54" s="257"/>
      <c r="F54" s="257"/>
      <c r="G54" s="257"/>
      <c r="H54" s="257"/>
      <c r="I54" s="257"/>
      <c r="J54" s="2014"/>
      <c r="K54" s="2011"/>
      <c r="L54" s="2011"/>
      <c r="M54" s="2011"/>
      <c r="N54" s="2011"/>
      <c r="O54" s="2011"/>
      <c r="P54" s="2011"/>
      <c r="Q54" s="2011"/>
      <c r="R54" s="2011"/>
      <c r="S54" s="2011"/>
      <c r="T54" s="2011"/>
      <c r="U54" s="2011"/>
      <c r="V54" s="2011"/>
    </row>
    <row r="55" spans="1:22" ht="13.2">
      <c r="A55" s="257"/>
      <c r="B55" s="257"/>
      <c r="C55" s="257"/>
      <c r="D55" s="257"/>
      <c r="E55" s="257"/>
      <c r="F55" s="257"/>
      <c r="G55" s="257"/>
      <c r="H55" s="257"/>
      <c r="I55" s="257"/>
      <c r="J55" s="2014"/>
      <c r="K55" s="2011"/>
      <c r="L55" s="2011"/>
      <c r="M55" s="2011"/>
      <c r="N55" s="2011"/>
      <c r="O55" s="2011"/>
      <c r="P55" s="2011"/>
      <c r="Q55" s="2011"/>
      <c r="R55" s="2011"/>
      <c r="S55" s="2011"/>
      <c r="T55" s="2011"/>
      <c r="U55" s="2011"/>
      <c r="V55" s="2011"/>
    </row>
    <row r="56" spans="1:22" ht="13.2">
      <c r="A56" s="257"/>
      <c r="B56" s="337"/>
      <c r="C56" s="337"/>
      <c r="D56" s="337"/>
      <c r="E56" s="337"/>
      <c r="F56" s="337"/>
      <c r="G56" s="337"/>
      <c r="H56" s="337"/>
      <c r="I56" s="338" t="s">
        <v>371</v>
      </c>
      <c r="J56" s="2014"/>
      <c r="K56" s="2011"/>
      <c r="L56" s="2011"/>
      <c r="M56" s="2011"/>
      <c r="N56" s="2011"/>
      <c r="O56" s="2011"/>
      <c r="P56" s="2011"/>
      <c r="Q56" s="2011"/>
      <c r="R56" s="2011"/>
      <c r="S56" s="2011"/>
      <c r="T56" s="2011"/>
      <c r="U56" s="2011"/>
      <c r="V56" s="2011"/>
    </row>
    <row r="57" spans="1:22" ht="13.2">
      <c r="A57" s="257"/>
      <c r="B57" s="339" t="s">
        <v>372</v>
      </c>
      <c r="C57" s="257"/>
      <c r="D57" s="257"/>
      <c r="E57" s="257"/>
      <c r="F57" s="257"/>
      <c r="G57" s="257"/>
      <c r="H57" s="257"/>
      <c r="I57" s="257"/>
      <c r="J57" s="2014"/>
      <c r="K57" s="2011"/>
      <c r="L57" s="2011"/>
      <c r="M57" s="2011"/>
      <c r="N57" s="2011"/>
      <c r="O57" s="2011"/>
      <c r="P57" s="2011"/>
      <c r="Q57" s="2011"/>
      <c r="R57" s="2011"/>
      <c r="S57" s="2011"/>
      <c r="T57" s="2011"/>
      <c r="U57" s="2011"/>
      <c r="V57" s="2011"/>
    </row>
    <row r="58" spans="1:22" ht="13.2">
      <c r="A58" s="257"/>
      <c r="B58" s="339"/>
      <c r="C58" s="257"/>
      <c r="D58" s="257"/>
      <c r="E58" s="257"/>
      <c r="F58" s="257"/>
      <c r="G58" s="257"/>
      <c r="H58" s="257"/>
      <c r="I58" s="257"/>
      <c r="J58" s="2014"/>
      <c r="K58" s="2011"/>
      <c r="L58" s="2011"/>
      <c r="M58" s="2011"/>
      <c r="N58" s="2011"/>
      <c r="O58" s="2011"/>
      <c r="P58" s="2011"/>
      <c r="Q58" s="2011"/>
      <c r="R58" s="2011"/>
      <c r="S58" s="2011"/>
      <c r="T58" s="2011"/>
      <c r="U58" s="2011"/>
      <c r="V58" s="2011"/>
    </row>
    <row r="59" spans="1:22" ht="13.2">
      <c r="A59" s="257"/>
      <c r="B59" s="337"/>
      <c r="C59" s="337"/>
      <c r="D59" s="337"/>
      <c r="E59" s="337"/>
      <c r="F59" s="337"/>
      <c r="G59" s="337"/>
      <c r="H59" s="337"/>
      <c r="I59" s="338" t="s">
        <v>371</v>
      </c>
      <c r="J59" s="2014"/>
      <c r="K59" s="2011"/>
      <c r="L59" s="2011"/>
      <c r="M59" s="2011"/>
      <c r="N59" s="2011"/>
      <c r="O59" s="2011"/>
      <c r="P59" s="2011"/>
      <c r="Q59" s="2011"/>
      <c r="R59" s="2011"/>
      <c r="S59" s="2011"/>
      <c r="T59" s="2011"/>
      <c r="U59" s="2011"/>
      <c r="V59" s="2011"/>
    </row>
    <row r="60" spans="1:22" ht="13.2">
      <c r="A60" s="257"/>
      <c r="B60" s="257"/>
      <c r="C60" s="257"/>
      <c r="D60" s="257"/>
      <c r="E60" s="257"/>
      <c r="F60" s="257"/>
      <c r="G60" s="257"/>
      <c r="H60" s="257"/>
      <c r="I60" s="257"/>
      <c r="J60" s="2014"/>
      <c r="K60" s="2011"/>
      <c r="L60" s="2011"/>
      <c r="M60" s="2011"/>
      <c r="N60" s="2011"/>
      <c r="O60" s="2011"/>
      <c r="P60" s="2011"/>
      <c r="Q60" s="2011"/>
      <c r="R60" s="2011"/>
      <c r="S60" s="2011"/>
      <c r="T60" s="2011"/>
      <c r="U60" s="2011"/>
      <c r="V60" s="2011"/>
    </row>
    <row r="61" spans="1:22" ht="13.2">
      <c r="A61" s="257"/>
      <c r="B61" s="339"/>
      <c r="C61" s="340"/>
      <c r="D61" s="216"/>
      <c r="E61" s="216"/>
      <c r="F61" s="253"/>
      <c r="G61" s="257"/>
      <c r="H61" s="257"/>
      <c r="I61" s="257"/>
      <c r="J61" s="2014"/>
      <c r="K61" s="2011"/>
      <c r="L61" s="2011"/>
      <c r="M61" s="2011"/>
      <c r="N61" s="2011"/>
      <c r="O61" s="2011"/>
      <c r="P61" s="2011"/>
      <c r="Q61" s="2011"/>
      <c r="R61" s="2011"/>
      <c r="S61" s="2011"/>
      <c r="T61" s="2011"/>
      <c r="U61" s="2011"/>
      <c r="V61" s="2011"/>
    </row>
    <row r="62" spans="1:22" ht="17.399999999999999">
      <c r="A62" s="1280" t="s">
        <v>373</v>
      </c>
      <c r="B62" s="1281"/>
      <c r="C62" s="1281"/>
      <c r="D62" s="1282"/>
      <c r="E62" s="1282"/>
      <c r="F62" s="1283"/>
      <c r="G62" s="1283"/>
      <c r="H62" s="1283"/>
      <c r="I62" s="1283"/>
      <c r="J62" s="2015"/>
      <c r="K62" s="2011"/>
      <c r="L62" s="2011"/>
      <c r="M62" s="2011"/>
      <c r="N62" s="2011"/>
      <c r="O62" s="2011"/>
      <c r="P62" s="2011"/>
      <c r="Q62" s="2011"/>
      <c r="R62" s="2011"/>
      <c r="S62" s="2011"/>
      <c r="T62" s="2011"/>
      <c r="U62" s="2011"/>
      <c r="V62" s="2011"/>
    </row>
    <row r="63" spans="1:22" ht="14.25" customHeight="1" thickBot="1">
      <c r="A63" s="3450" t="s">
        <v>374</v>
      </c>
      <c r="B63" s="3451"/>
      <c r="C63" s="3452"/>
      <c r="D63" s="341">
        <f ca="1">ROUND(C42*F63,0)</f>
        <v>10036</v>
      </c>
      <c r="E63" s="302" t="s">
        <v>375</v>
      </c>
      <c r="F63" s="342">
        <v>0.6</v>
      </c>
      <c r="G63" s="343" t="s">
        <v>376</v>
      </c>
      <c r="H63" s="311"/>
      <c r="I63" s="311"/>
      <c r="J63" s="2011"/>
      <c r="K63" s="2011"/>
      <c r="L63" s="2011"/>
      <c r="M63" s="2011"/>
      <c r="N63" s="2011"/>
      <c r="O63" s="2011"/>
      <c r="P63" s="311"/>
      <c r="Q63" s="2011"/>
      <c r="R63" s="2011"/>
      <c r="S63" s="2011"/>
      <c r="T63" s="2011"/>
      <c r="U63" s="2011"/>
      <c r="V63" s="2011"/>
    </row>
    <row r="64" spans="1:22" ht="14.25" customHeight="1">
      <c r="A64" s="3489" t="s">
        <v>378</v>
      </c>
      <c r="B64" s="3490"/>
      <c r="C64" s="3490"/>
      <c r="D64" s="3490"/>
      <c r="E64" s="3490"/>
      <c r="F64" s="3490"/>
      <c r="G64" s="3491"/>
      <c r="H64" s="1284"/>
      <c r="I64" s="948"/>
      <c r="J64" s="1973"/>
      <c r="K64" s="1547" t="s">
        <v>377</v>
      </c>
      <c r="L64" s="11"/>
      <c r="M64" s="11"/>
      <c r="N64" s="11"/>
      <c r="O64" s="11"/>
      <c r="P64" s="311"/>
      <c r="Q64" s="2011"/>
      <c r="R64" s="2011"/>
      <c r="S64" s="2011"/>
      <c r="T64" s="2011"/>
      <c r="U64" s="2011"/>
      <c r="V64" s="2011"/>
    </row>
    <row r="65" spans="1:22" ht="12" customHeight="1">
      <c r="A65" s="344" t="s">
        <v>380</v>
      </c>
      <c r="B65" s="345"/>
      <c r="C65" s="346"/>
      <c r="D65" s="347" t="s">
        <v>381</v>
      </c>
      <c r="E65" s="53" t="s">
        <v>382</v>
      </c>
      <c r="F65" s="348" t="s">
        <v>383</v>
      </c>
      <c r="G65" s="349" t="s">
        <v>384</v>
      </c>
      <c r="H65" s="1284"/>
      <c r="I65" s="948"/>
      <c r="J65" s="1973"/>
      <c r="K65" s="1285"/>
      <c r="L65" s="1286"/>
      <c r="M65" s="1286"/>
      <c r="N65" s="1318" t="s">
        <v>379</v>
      </c>
      <c r="O65" s="1319"/>
      <c r="P65" s="1320"/>
      <c r="Q65" s="2011"/>
      <c r="R65" s="2011"/>
      <c r="S65" s="2011"/>
      <c r="T65" s="2011"/>
      <c r="U65" s="2011"/>
      <c r="V65" s="2011"/>
    </row>
    <row r="66" spans="1:22" ht="26.4">
      <c r="A66" s="3486" t="s">
        <v>386</v>
      </c>
      <c r="B66" s="3457"/>
      <c r="C66" s="3457"/>
      <c r="D66" s="261">
        <f ca="1">IF(H66="情况1",0,IF(H66="情况2",D70,IF(H66="情况3",D71,IF(H66="情况4",D72))))</f>
        <v>526</v>
      </c>
      <c r="E66" s="993" t="str">
        <f>IF(H66="情况4","(销售额-原购置价)×税（费）率","销售额×税（费）率")</f>
        <v>销售额×税（费）率</v>
      </c>
      <c r="F66" s="350">
        <f>IF(H66="情况1","免征",'数据-取费表'!B41)</f>
        <v>5.5000000000000007E-2</v>
      </c>
      <c r="G66" s="351" t="s">
        <v>387</v>
      </c>
      <c r="H66" s="191" t="s">
        <v>388</v>
      </c>
      <c r="I66" s="1284"/>
      <c r="J66" s="2017"/>
      <c r="K66" s="1287">
        <v>1</v>
      </c>
      <c r="L66" s="3426" t="s">
        <v>385</v>
      </c>
      <c r="M66" s="3427"/>
      <c r="N66" s="2420"/>
      <c r="O66" s="2421"/>
      <c r="P66" s="2422"/>
      <c r="Q66" s="2011"/>
      <c r="R66" s="2011"/>
      <c r="S66" s="2011"/>
      <c r="T66" s="2011"/>
      <c r="U66" s="2011"/>
      <c r="V66" s="2011"/>
    </row>
    <row r="67" spans="1:22" ht="25.5" customHeight="1">
      <c r="A67" s="352" t="s">
        <v>390</v>
      </c>
      <c r="B67" s="3469" t="s">
        <v>391</v>
      </c>
      <c r="C67" s="3469"/>
      <c r="D67" s="353">
        <v>0</v>
      </c>
      <c r="E67" s="41" t="s">
        <v>392</v>
      </c>
      <c r="F67" s="62" t="s">
        <v>21</v>
      </c>
      <c r="G67" s="3453"/>
      <c r="H67" s="311"/>
      <c r="I67" s="1288"/>
      <c r="J67" s="2018"/>
      <c r="K67" s="1959">
        <v>2</v>
      </c>
      <c r="L67" s="3425" t="s">
        <v>389</v>
      </c>
      <c r="M67" s="3425"/>
      <c r="N67" s="1321">
        <f>'数据-取费表'!B2</f>
        <v>43889</v>
      </c>
      <c r="O67" s="1321"/>
      <c r="P67" s="1321"/>
      <c r="Q67" s="2011"/>
      <c r="R67" s="2011"/>
      <c r="S67" s="2011"/>
      <c r="T67" s="2011"/>
      <c r="U67" s="2011"/>
      <c r="V67" s="2011"/>
    </row>
    <row r="68" spans="1:22" ht="25.5" customHeight="1">
      <c r="A68" s="354"/>
      <c r="B68" s="3469" t="s">
        <v>394</v>
      </c>
      <c r="C68" s="3469"/>
      <c r="D68" s="355"/>
      <c r="E68" s="77"/>
      <c r="F68" s="356"/>
      <c r="G68" s="3454"/>
      <c r="H68" s="311"/>
      <c r="I68" s="1288"/>
      <c r="J68" s="2018"/>
      <c r="K68" s="1959">
        <v>3</v>
      </c>
      <c r="L68" s="3425" t="s">
        <v>393</v>
      </c>
      <c r="M68" s="3425"/>
      <c r="N68" s="1289">
        <f ca="1">C42</f>
        <v>16726</v>
      </c>
      <c r="O68" s="1289"/>
      <c r="P68" s="1289"/>
      <c r="Q68" s="2011"/>
      <c r="R68" s="2011"/>
      <c r="S68" s="2011"/>
      <c r="T68" s="2011"/>
      <c r="U68" s="2011"/>
      <c r="V68" s="2011"/>
    </row>
    <row r="69" spans="1:22" ht="12" customHeight="1">
      <c r="A69" s="357"/>
      <c r="B69" s="3469" t="s">
        <v>395</v>
      </c>
      <c r="C69" s="3469"/>
      <c r="D69" s="358"/>
      <c r="E69" s="73"/>
      <c r="F69" s="356"/>
      <c r="G69" s="3455"/>
      <c r="H69" s="311"/>
      <c r="I69" s="1288"/>
      <c r="J69" s="2018"/>
      <c r="K69" s="1290">
        <v>4</v>
      </c>
      <c r="L69" s="3431" t="s">
        <v>2879</v>
      </c>
      <c r="M69" s="3432"/>
      <c r="N69" s="1291">
        <f ca="1">C44</f>
        <v>16726</v>
      </c>
      <c r="O69" s="1291"/>
      <c r="P69" s="1291"/>
      <c r="Q69" s="2011"/>
      <c r="R69" s="2011"/>
      <c r="S69" s="2011"/>
      <c r="T69" s="2011"/>
      <c r="U69" s="2011"/>
      <c r="V69" s="2011"/>
    </row>
    <row r="70" spans="1:22" ht="24" customHeight="1">
      <c r="A70" s="359" t="s">
        <v>396</v>
      </c>
      <c r="B70" s="3469" t="s">
        <v>397</v>
      </c>
      <c r="C70" s="3469"/>
      <c r="D70" s="358">
        <f ca="1">ROUND(D63*'数据-取费表'!B41/(1+'数据-取费表'!C42),0)</f>
        <v>526</v>
      </c>
      <c r="E70" s="17" t="s">
        <v>398</v>
      </c>
      <c r="F70" s="360">
        <f>'数据-取费表'!B41</f>
        <v>5.5000000000000007E-2</v>
      </c>
      <c r="G70" s="361"/>
      <c r="H70" s="311"/>
      <c r="I70" s="1288"/>
      <c r="J70" s="2018"/>
      <c r="K70" s="3010"/>
      <c r="L70" s="3011"/>
      <c r="M70" s="3011"/>
      <c r="N70" s="3012" t="s">
        <v>2884</v>
      </c>
      <c r="O70" s="3011"/>
      <c r="P70" s="3013"/>
      <c r="Q70" s="2011"/>
      <c r="R70" s="2011"/>
      <c r="S70" s="2011"/>
      <c r="T70" s="2011"/>
      <c r="U70" s="2011"/>
      <c r="V70" s="2011"/>
    </row>
    <row r="71" spans="1:22" ht="12" customHeight="1">
      <c r="A71" s="359" t="s">
        <v>404</v>
      </c>
      <c r="B71" s="3468" t="s">
        <v>405</v>
      </c>
      <c r="C71" s="3480"/>
      <c r="D71" s="358">
        <f ca="1">ROUND(D63*'数据-取费表'!B41/(1+'数据-取费表'!C42),0)</f>
        <v>526</v>
      </c>
      <c r="E71" s="17" t="s">
        <v>398</v>
      </c>
      <c r="F71" s="360">
        <f>'数据-取费表'!B41</f>
        <v>5.5000000000000007E-2</v>
      </c>
      <c r="G71" s="361"/>
      <c r="H71" s="311"/>
      <c r="I71" s="1288"/>
      <c r="J71" s="2018"/>
      <c r="K71" s="3009" t="s">
        <v>399</v>
      </c>
      <c r="L71" s="3433" t="s">
        <v>400</v>
      </c>
      <c r="M71" s="3433"/>
      <c r="N71" s="3009" t="s">
        <v>401</v>
      </c>
      <c r="O71" s="3009" t="s">
        <v>402</v>
      </c>
      <c r="P71" s="3009" t="s">
        <v>403</v>
      </c>
      <c r="Q71" s="2011"/>
      <c r="R71" s="2011"/>
      <c r="S71" s="2011"/>
      <c r="T71" s="2011"/>
      <c r="U71" s="2011"/>
      <c r="V71" s="2011"/>
    </row>
    <row r="72" spans="1:22" ht="12" customHeight="1">
      <c r="A72" s="359" t="s">
        <v>407</v>
      </c>
      <c r="B72" s="3468" t="s">
        <v>408</v>
      </c>
      <c r="C72" s="3480"/>
      <c r="D72" s="358">
        <f ca="1">C86</f>
        <v>416</v>
      </c>
      <c r="E72" s="73" t="s">
        <v>409</v>
      </c>
      <c r="F72" s="360">
        <f>'数据-取费表'!B41</f>
        <v>5.5000000000000007E-2</v>
      </c>
      <c r="G72" s="361"/>
      <c r="H72" s="1294"/>
      <c r="I72" s="1288"/>
      <c r="J72" s="2018"/>
      <c r="K72" s="1959">
        <v>1</v>
      </c>
      <c r="L72" s="3430" t="s">
        <v>406</v>
      </c>
      <c r="M72" s="3430"/>
      <c r="N72" s="1292">
        <f ca="1">D66</f>
        <v>526</v>
      </c>
      <c r="O72" s="1842" t="str">
        <f>E66</f>
        <v>销售额×税（费）率</v>
      </c>
      <c r="P72" s="1293">
        <f>F66</f>
        <v>5.5000000000000007E-2</v>
      </c>
      <c r="Q72" s="2011"/>
      <c r="R72" s="2011"/>
      <c r="S72" s="2011"/>
      <c r="T72" s="2011"/>
      <c r="U72" s="2011"/>
      <c r="V72" s="2011"/>
    </row>
    <row r="73" spans="1:22" ht="24" customHeight="1">
      <c r="A73" s="3456" t="s">
        <v>411</v>
      </c>
      <c r="B73" s="3457"/>
      <c r="C73" s="3457"/>
      <c r="D73" s="362">
        <f>IF(H73="个人住宅",0,ROUND(D63*I73,0))</f>
        <v>0</v>
      </c>
      <c r="E73" s="17" t="s">
        <v>412</v>
      </c>
      <c r="F73" s="360" t="str">
        <f>IF(H73="正常",I73,"免征")</f>
        <v>免征</v>
      </c>
      <c r="G73" s="361"/>
      <c r="H73" s="191" t="s">
        <v>2452</v>
      </c>
      <c r="I73" s="360">
        <f>'数据-取费表'!B49</f>
        <v>5.0000000000000001E-4</v>
      </c>
      <c r="J73" s="2018"/>
      <c r="K73" s="1959">
        <v>2</v>
      </c>
      <c r="L73" s="3430" t="s">
        <v>410</v>
      </c>
      <c r="M73" s="3430"/>
      <c r="N73" s="1292">
        <f t="shared" ref="N73:P74" si="1">D73</f>
        <v>0</v>
      </c>
      <c r="O73" s="1842" t="str">
        <f t="shared" si="1"/>
        <v>销售额×税（费）率</v>
      </c>
      <c r="P73" s="1293" t="str">
        <f t="shared" si="1"/>
        <v>免征</v>
      </c>
      <c r="Q73" s="2011"/>
      <c r="R73" s="2011"/>
      <c r="S73" s="2011"/>
      <c r="T73" s="2011"/>
      <c r="U73" s="2011"/>
      <c r="V73" s="2011"/>
    </row>
    <row r="74" spans="1:22" ht="25.2">
      <c r="A74" s="3456" t="s">
        <v>415</v>
      </c>
      <c r="B74" s="3457"/>
      <c r="C74" s="3457"/>
      <c r="D74" s="362">
        <f ca="1">IF(H74="个人住宅",D75,D76)</f>
        <v>5034</v>
      </c>
      <c r="E74" s="17" t="s">
        <v>416</v>
      </c>
      <c r="F74" s="360" t="str">
        <f>IF(H74="正常",F76,"免征")</f>
        <v>——</v>
      </c>
      <c r="G74" s="983" t="s">
        <v>417</v>
      </c>
      <c r="H74" s="363" t="s">
        <v>413</v>
      </c>
      <c r="I74" s="42"/>
      <c r="J74" s="2018"/>
      <c r="K74" s="1959">
        <v>3</v>
      </c>
      <c r="L74" s="3430" t="s">
        <v>414</v>
      </c>
      <c r="M74" s="3430"/>
      <c r="N74" s="1292">
        <f t="shared" ca="1" si="1"/>
        <v>5034</v>
      </c>
      <c r="O74" s="1842" t="str">
        <f t="shared" si="1"/>
        <v>增值额×税（费）率</v>
      </c>
      <c r="P74" s="1295" t="str">
        <f t="shared" si="1"/>
        <v>——</v>
      </c>
      <c r="Q74" s="2011"/>
      <c r="R74" s="2011"/>
      <c r="S74" s="2011"/>
      <c r="T74" s="2011"/>
      <c r="U74" s="2011"/>
      <c r="V74" s="2011"/>
    </row>
    <row r="75" spans="1:22" ht="24">
      <c r="A75" s="359" t="s">
        <v>418</v>
      </c>
      <c r="B75" s="3437" t="s">
        <v>419</v>
      </c>
      <c r="C75" s="3438"/>
      <c r="D75" s="364">
        <v>0</v>
      </c>
      <c r="E75" s="41" t="s">
        <v>420</v>
      </c>
      <c r="F75" s="365"/>
      <c r="G75" s="361"/>
      <c r="H75" s="42"/>
      <c r="I75" s="42"/>
      <c r="J75" s="2018"/>
      <c r="K75" s="3002">
        <f>IF(H77="非个人房产","",4)</f>
        <v>4</v>
      </c>
      <c r="L75" s="3430" t="str">
        <f>IF(H77="非个人房产","——","个人所得税")</f>
        <v>个人所得税</v>
      </c>
      <c r="M75" s="3430"/>
      <c r="N75" s="1296">
        <f ca="1">D77</f>
        <v>100</v>
      </c>
      <c r="O75" s="1855" t="str">
        <f>E77</f>
        <v>销售额×税（费）率</v>
      </c>
      <c r="P75" s="1297">
        <f>F77</f>
        <v>0.01</v>
      </c>
      <c r="Q75" s="2011"/>
      <c r="R75" s="2011"/>
      <c r="S75" s="2011"/>
      <c r="T75" s="2011"/>
      <c r="U75" s="2011"/>
      <c r="V75" s="2011"/>
    </row>
    <row r="76" spans="1:22" ht="25.2">
      <c r="A76" s="359" t="s">
        <v>396</v>
      </c>
      <c r="B76" s="3437" t="s">
        <v>422</v>
      </c>
      <c r="C76" s="3479"/>
      <c r="D76" s="362">
        <f ca="1">IF(H76="转让取得",C99,C115)</f>
        <v>5034</v>
      </c>
      <c r="E76" s="17" t="s">
        <v>423</v>
      </c>
      <c r="F76" s="53" t="s">
        <v>21</v>
      </c>
      <c r="G76" s="361"/>
      <c r="H76" s="363" t="s">
        <v>424</v>
      </c>
      <c r="I76" s="42"/>
      <c r="J76" s="2018"/>
      <c r="K76" s="3002" t="str">
        <f>IF(项目基本情况!K6="上海银行",IF(K75="",4,K75+1),"")</f>
        <v/>
      </c>
      <c r="L76" s="3418" t="str">
        <f>IF(项目基本情况!K6="上海银行","其他处置费用","")</f>
        <v/>
      </c>
      <c r="M76" s="3419"/>
      <c r="N76" s="1292" t="str">
        <f>IF(项目基本情况!K6="上海银行",N89,"")</f>
        <v/>
      </c>
      <c r="O76" s="3420" t="str">
        <f>IF(项目基本情况!K6="上海银行","包含处置中涉及的律师、诉讼、拍卖、评估等费用","")</f>
        <v/>
      </c>
      <c r="P76" s="3421"/>
      <c r="Q76" s="2011"/>
      <c r="R76" s="2011"/>
      <c r="S76" s="2011"/>
      <c r="T76" s="2011"/>
      <c r="U76" s="2011"/>
      <c r="V76" s="2011"/>
    </row>
    <row r="77" spans="1:22" ht="27" thickBot="1">
      <c r="A77" s="3448" t="s">
        <v>426</v>
      </c>
      <c r="B77" s="3449"/>
      <c r="C77" s="3449"/>
      <c r="D77" s="366">
        <f ca="1">IF(H77="非个人房产","——",IF(H77="个人住宅",0,ROUND(D63*I77,0)))</f>
        <v>100</v>
      </c>
      <c r="E77" s="367" t="str">
        <f>IF(H77="非个人房产","——","销售额×税（费）率")</f>
        <v>销售额×税（费）率</v>
      </c>
      <c r="F77" s="368">
        <f>IF(H77="非个人房产","——",IF(H77="个人住宅","免征",I77))</f>
        <v>0.01</v>
      </c>
      <c r="G77" s="984" t="s">
        <v>417</v>
      </c>
      <c r="H77" s="363" t="s">
        <v>2880</v>
      </c>
      <c r="I77" s="369">
        <v>0.01</v>
      </c>
      <c r="J77" s="2018"/>
      <c r="K77" s="3444">
        <f>IF(AND(K75="",K76=""),4,IF(项目基本情况!K6="上海银行",K76+1,K75+1))</f>
        <v>5</v>
      </c>
      <c r="L77" s="3430" t="s">
        <v>2881</v>
      </c>
      <c r="M77" s="3008" t="s">
        <v>421</v>
      </c>
      <c r="N77" s="1298"/>
      <c r="O77" s="1299">
        <f ca="1">SUMIF(N72:N76,"&lt;9e307")</f>
        <v>5660</v>
      </c>
      <c r="P77" s="1300"/>
      <c r="Q77" s="3006">
        <f ca="1">O77/N69</f>
        <v>0.33839531268683487</v>
      </c>
      <c r="R77" s="2011"/>
      <c r="S77" s="2011"/>
      <c r="T77" s="2011"/>
      <c r="U77" s="2011"/>
      <c r="V77" s="2011"/>
    </row>
    <row r="78" spans="1:22" ht="12" customHeight="1">
      <c r="A78" s="1301"/>
      <c r="B78" s="311"/>
      <c r="C78" s="311"/>
      <c r="D78" s="311"/>
      <c r="E78" s="42"/>
      <c r="F78" s="42"/>
      <c r="G78" s="42"/>
      <c r="H78" s="1003"/>
      <c r="I78" s="311"/>
      <c r="J78" s="2018"/>
      <c r="K78" s="3444"/>
      <c r="L78" s="3430"/>
      <c r="M78" s="3008" t="s">
        <v>425</v>
      </c>
      <c r="N78" s="1298"/>
      <c r="O78" s="1299" t="str">
        <f ca="1">NUMBERSTRING(INT(O77*10000),2)&amp;"元整"</f>
        <v>伍仟陆佰陆拾万元整</v>
      </c>
      <c r="P78" s="1300"/>
      <c r="Q78" s="2011"/>
      <c r="R78" s="2011"/>
      <c r="S78" s="2011"/>
      <c r="T78" s="2011"/>
      <c r="U78" s="2011"/>
      <c r="V78" s="2011"/>
    </row>
    <row r="79" spans="1:22" ht="13.8" thickBot="1">
      <c r="A79" s="3434" t="s">
        <v>427</v>
      </c>
      <c r="B79" s="3434"/>
      <c r="C79" s="3434"/>
      <c r="D79" s="3434"/>
      <c r="E79" s="3434"/>
      <c r="F79" s="42"/>
      <c r="G79" s="42"/>
      <c r="H79" s="1003"/>
      <c r="I79" s="311"/>
      <c r="J79" s="2018"/>
      <c r="K79" s="3428">
        <f>K77+1</f>
        <v>6</v>
      </c>
      <c r="L79" s="3430" t="s">
        <v>2882</v>
      </c>
      <c r="M79" s="3008" t="s">
        <v>421</v>
      </c>
      <c r="N79" s="1298"/>
      <c r="O79" s="1299">
        <f ca="1">N69-O77</f>
        <v>11066</v>
      </c>
      <c r="P79" s="1300"/>
      <c r="Q79" s="2011"/>
      <c r="R79" s="2011"/>
      <c r="S79" s="2011"/>
      <c r="T79" s="2011"/>
      <c r="U79" s="2011"/>
      <c r="V79" s="2011"/>
    </row>
    <row r="80" spans="1:22" ht="26.4">
      <c r="A80" s="3435" t="s">
        <v>428</v>
      </c>
      <c r="B80" s="3436"/>
      <c r="C80" s="994"/>
      <c r="D80" s="994" t="s">
        <v>429</v>
      </c>
      <c r="E80" s="370" t="s">
        <v>430</v>
      </c>
      <c r="F80" s="42"/>
      <c r="G80" s="42"/>
      <c r="H80" s="1003"/>
      <c r="I80" s="311"/>
      <c r="J80" s="2011"/>
      <c r="K80" s="3429"/>
      <c r="L80" s="3430"/>
      <c r="M80" s="3008" t="s">
        <v>425</v>
      </c>
      <c r="N80" s="1298"/>
      <c r="O80" s="1299" t="str">
        <f ca="1">NUMBERSTRING(INT(O79*10000),2)&amp;"元整"</f>
        <v>壹亿壹仟零陆拾陆万元整</v>
      </c>
      <c r="P80" s="1300"/>
      <c r="Q80" s="2011"/>
      <c r="R80" s="2011"/>
      <c r="S80" s="2011"/>
      <c r="T80" s="2011"/>
      <c r="U80" s="2011"/>
      <c r="V80" s="2011"/>
    </row>
    <row r="81" spans="1:26" ht="13.8" thickBot="1">
      <c r="A81" s="381" t="s">
        <v>1822</v>
      </c>
      <c r="B81" s="371" t="s">
        <v>431</v>
      </c>
      <c r="C81" s="372">
        <f ca="1">ROUND((C82+C83)/(1+'数据-取费表'!C42),0)</f>
        <v>9558</v>
      </c>
      <c r="D81" s="373"/>
      <c r="E81" s="374"/>
      <c r="F81" s="42"/>
      <c r="G81" s="42"/>
      <c r="H81" s="1003"/>
      <c r="I81" s="311"/>
      <c r="J81" s="2011"/>
      <c r="K81" s="3002">
        <f>K79+1</f>
        <v>7</v>
      </c>
      <c r="L81" s="3442" t="s">
        <v>2883</v>
      </c>
      <c r="M81" s="3443"/>
      <c r="N81" s="1302"/>
      <c r="O81" s="1303">
        <f ca="1">ROUND(O79*10000/'数据-汇总表'!E3,0)</f>
        <v>659</v>
      </c>
      <c r="P81" s="1304"/>
      <c r="Q81" s="2011"/>
      <c r="R81" s="2011"/>
      <c r="S81" s="2011"/>
      <c r="T81" s="2011"/>
      <c r="U81" s="2011"/>
      <c r="V81" s="2011"/>
    </row>
    <row r="82" spans="1:26" ht="13.8" thickTop="1">
      <c r="A82" s="375" t="s">
        <v>1823</v>
      </c>
      <c r="B82" s="376" t="s">
        <v>432</v>
      </c>
      <c r="C82" s="377">
        <f ca="1">D63</f>
        <v>10036</v>
      </c>
      <c r="D82" s="378" t="s">
        <v>19</v>
      </c>
      <c r="E82" s="379"/>
      <c r="F82" s="42"/>
      <c r="G82" s="42"/>
      <c r="H82" s="1003"/>
      <c r="I82" s="311"/>
      <c r="J82" s="2011"/>
      <c r="K82" s="2011"/>
      <c r="L82" s="2011"/>
      <c r="M82" s="2011"/>
      <c r="N82" s="2011"/>
      <c r="O82" s="2011"/>
      <c r="P82" s="2011"/>
      <c r="Q82" s="2011"/>
      <c r="R82" s="2011"/>
      <c r="S82" s="2011"/>
      <c r="T82" s="2011"/>
      <c r="U82" s="2011"/>
      <c r="V82" s="2011"/>
    </row>
    <row r="83" spans="1:26" ht="13.2">
      <c r="A83" s="375" t="s">
        <v>1824</v>
      </c>
      <c r="B83" s="376" t="s">
        <v>433</v>
      </c>
      <c r="C83" s="380">
        <v>0</v>
      </c>
      <c r="D83" s="378"/>
      <c r="E83" s="379"/>
      <c r="F83" s="42"/>
      <c r="G83" s="42"/>
      <c r="H83" s="1003"/>
      <c r="I83" s="311"/>
      <c r="J83" s="2011"/>
      <c r="K83" s="3417" t="s">
        <v>2870</v>
      </c>
      <c r="L83" s="3014" t="s">
        <v>2871</v>
      </c>
      <c r="M83" s="3004">
        <f ca="1">IF(N69&gt;10000,N69*0.5%,IF(AND(N69&gt;1000,N69&lt;=10000),N69*1%,IF(AND(N69&gt;100,N69&lt;=1000),N69*3%,IF(AND(N69&gt;10,N69&lt;=100),N69*5%,N69*8%))))</f>
        <v>83.63</v>
      </c>
      <c r="N83" s="53">
        <f ca="1">ROUND(M83,1)</f>
        <v>83.6</v>
      </c>
      <c r="O83" s="3007"/>
      <c r="P83" s="2011"/>
      <c r="Q83" s="2011"/>
      <c r="R83" s="2011"/>
      <c r="S83" s="2011"/>
      <c r="T83" s="2011"/>
      <c r="U83" s="2011"/>
      <c r="V83" s="2011"/>
    </row>
    <row r="84" spans="1:26" ht="25.2">
      <c r="A84" s="381" t="s">
        <v>1825</v>
      </c>
      <c r="B84" s="382" t="s">
        <v>434</v>
      </c>
      <c r="C84" s="383">
        <v>2000</v>
      </c>
      <c r="D84" s="384" t="s">
        <v>19</v>
      </c>
      <c r="E84" s="3047" t="s">
        <v>2934</v>
      </c>
      <c r="F84" s="42"/>
      <c r="G84" s="42"/>
      <c r="H84" s="1003"/>
      <c r="I84" s="311"/>
      <c r="J84" s="2011"/>
      <c r="K84" s="3417"/>
      <c r="L84" s="3014" t="s">
        <v>2872</v>
      </c>
      <c r="M84" s="3004">
        <f ca="1">IF(N69&gt;2000,N69*0.5%,IF(AND(N69&gt;1000,N69&lt;=2000),N69*0.6%,IF(AND(N69&gt;500,N69&lt;=1000),N69*0.7%,IF(AND(N69&gt;200,N69&lt;=500),N69*0.8%,IF(AND(N69&gt;100,N69&lt;=200),N69*0.9%,IF(AND(N69&gt;50,N69&lt;=100),N69*1%,IF(AND(N69&gt;20,N69&lt;=50),N69*1.5%,IF(AND(N69&gt;10,N69&lt;=20),N69*2%,IF(AND(N69&gt;1,N69&lt;=10),N69*2.5%)))))))))</f>
        <v>83.63</v>
      </c>
      <c r="N84" s="53">
        <f t="shared" ref="N84:N85" ca="1" si="2">ROUND(M84,1)</f>
        <v>83.6</v>
      </c>
      <c r="O84" s="2011" t="s">
        <v>2873</v>
      </c>
      <c r="P84" s="2011"/>
      <c r="Q84" s="2011"/>
      <c r="R84" s="2011"/>
      <c r="S84" s="2011"/>
      <c r="T84" s="2011"/>
      <c r="U84" s="2011"/>
      <c r="V84" s="2011"/>
    </row>
    <row r="85" spans="1:26" ht="13.2">
      <c r="A85" s="381" t="s">
        <v>1826</v>
      </c>
      <c r="B85" s="382" t="s">
        <v>435</v>
      </c>
      <c r="C85" s="385">
        <f ca="1">C81-C84</f>
        <v>7558</v>
      </c>
      <c r="D85" s="378" t="s">
        <v>19</v>
      </c>
      <c r="E85" s="379"/>
      <c r="F85" s="42"/>
      <c r="G85" s="42"/>
      <c r="H85" s="1003"/>
      <c r="I85" s="311"/>
      <c r="J85" s="2011"/>
      <c r="K85" s="3417"/>
      <c r="L85" s="3014" t="s">
        <v>2874</v>
      </c>
      <c r="M85" s="3004">
        <f ca="1">IF(N69&gt;1000,N69*0.1%,IF(AND(N69&gt;500,N69&lt;=1000),N69*0.5%,IF(AND(N69&gt;50,N69&lt;=500),N69*1%,IF(AND(N69&gt;1,N69&lt;=50),N69*1.5%))))</f>
        <v>16.725999999999999</v>
      </c>
      <c r="N85" s="53">
        <f t="shared" ca="1" si="2"/>
        <v>16.7</v>
      </c>
      <c r="O85" s="2011" t="s">
        <v>2873</v>
      </c>
      <c r="P85" s="2011"/>
      <c r="Q85" s="2011"/>
      <c r="R85" s="2011"/>
      <c r="S85" s="2011"/>
      <c r="T85" s="2011"/>
      <c r="U85" s="2011"/>
      <c r="V85" s="2011"/>
    </row>
    <row r="86" spans="1:26" ht="13.8" thickBot="1">
      <c r="A86" s="386" t="s">
        <v>1827</v>
      </c>
      <c r="B86" s="387" t="s">
        <v>436</v>
      </c>
      <c r="C86" s="388">
        <f ca="1">IF(C85&lt;=0,0,ROUND(C85*D86,0))</f>
        <v>416</v>
      </c>
      <c r="D86" s="389">
        <f>'数据-取费表'!B41</f>
        <v>5.5000000000000007E-2</v>
      </c>
      <c r="E86" s="390"/>
      <c r="F86" s="42"/>
      <c r="G86" s="42"/>
      <c r="H86" s="1003"/>
      <c r="I86" s="311"/>
      <c r="J86" s="2011"/>
      <c r="K86" s="3417"/>
      <c r="L86" s="3014" t="s">
        <v>2875</v>
      </c>
      <c r="M86" s="3004">
        <f ca="1">N69*0.5%</f>
        <v>83.63</v>
      </c>
      <c r="N86" s="53">
        <f ca="1">IF(M86&gt;0.5,0.5,ROUND(M86,0))</f>
        <v>0.5</v>
      </c>
      <c r="O86" s="2011" t="s">
        <v>2876</v>
      </c>
      <c r="P86" s="2011"/>
      <c r="Q86" s="2011"/>
      <c r="R86" s="2011"/>
      <c r="S86" s="2011"/>
      <c r="T86" s="2011"/>
      <c r="U86" s="2011"/>
      <c r="V86" s="2011"/>
    </row>
    <row r="87" spans="1:26" s="1250" customFormat="1" ht="14.25" customHeight="1">
      <c r="A87" s="1305"/>
      <c r="B87" s="1306"/>
      <c r="C87" s="1307"/>
      <c r="D87" s="1308"/>
      <c r="E87" s="1309"/>
      <c r="F87" s="42"/>
      <c r="G87" s="42"/>
      <c r="H87" s="1003"/>
      <c r="I87" s="311"/>
      <c r="J87" s="2011"/>
      <c r="K87" s="3417"/>
      <c r="L87" s="3014" t="s">
        <v>2877</v>
      </c>
      <c r="M87" s="3004">
        <f ca="1">IF(N69&gt;=10000,(8.25+(N69-10000)*0.01%),IF(AND(N69&gt;=8000,N69&lt;10000),(7.85+(N69-8000)*0.02%),IF(AND(N69&gt;=5000,N69&lt;8000),(6.65+(N69-5000)*0.04%),IF(AND(N69&gt;=2000,N69&lt;5000),(4.25+(PN69-2000)*0.08%),IF(AND(N69&gt;=1000,N69&lt;2000),(2.75+(N69-1000)*0.15%),IF(AND(N69&gt;=100,N69&lt;1000),(0.5+(N69-100)*0.25%),IF(AND(N69&gt;0,N69&lt;100),N69*0.5%)))))))</f>
        <v>8.9225999999999992</v>
      </c>
      <c r="N87" s="53">
        <f ca="1">ROUND(M87*0.9,1)</f>
        <v>8</v>
      </c>
      <c r="O87" s="3007"/>
      <c r="P87" s="311"/>
      <c r="Q87" s="2011"/>
      <c r="R87" s="2011"/>
      <c r="S87" s="2011"/>
      <c r="T87" s="2011"/>
      <c r="U87" s="2011"/>
      <c r="V87" s="2011"/>
      <c r="W87" s="292"/>
      <c r="X87" s="292"/>
      <c r="Y87" s="292"/>
      <c r="Z87" s="292"/>
    </row>
    <row r="88" spans="1:26" s="1310" customFormat="1" ht="14.4" thickBot="1">
      <c r="A88" s="3471" t="s">
        <v>437</v>
      </c>
      <c r="B88" s="3472"/>
      <c r="C88" s="3472"/>
      <c r="D88" s="3472"/>
      <c r="E88" s="3472"/>
      <c r="F88" s="3472"/>
      <c r="G88" s="3472"/>
      <c r="H88" s="3472"/>
      <c r="I88" s="1311"/>
      <c r="J88" s="2019"/>
      <c r="K88" s="3417"/>
      <c r="L88" s="3014" t="s">
        <v>2878</v>
      </c>
      <c r="M88" s="3004">
        <f ca="1">IF(N69&gt;10000,N69*0.5%,IF(AND(N69&gt;5000,N69&lt;=10000),N69*1%,IF(AND(N69&gt;1000,N69&lt;=5000),N69*2%,IF(AND(N69&gt;200,N69&lt;=1000),N69*3%,N69*5%))))</f>
        <v>83.63</v>
      </c>
      <c r="N88" s="53">
        <f ca="1">ROUND(M88,1)</f>
        <v>83.6</v>
      </c>
      <c r="O88" s="3007"/>
      <c r="P88" s="11"/>
      <c r="Q88" s="2016"/>
      <c r="R88" s="2016"/>
      <c r="S88" s="2016"/>
      <c r="T88" s="2016"/>
      <c r="U88" s="2016"/>
      <c r="V88" s="2016"/>
      <c r="W88" s="2020"/>
      <c r="X88" s="2020"/>
      <c r="Y88" s="2020"/>
      <c r="Z88" s="2020"/>
    </row>
    <row r="89" spans="1:26" s="1310" customFormat="1" ht="13.8">
      <c r="A89" s="3435" t="s">
        <v>428</v>
      </c>
      <c r="B89" s="3436"/>
      <c r="C89" s="994"/>
      <c r="D89" s="994" t="s">
        <v>429</v>
      </c>
      <c r="E89" s="391" t="s">
        <v>438</v>
      </c>
      <c r="F89" s="392"/>
      <c r="G89" s="392"/>
      <c r="H89" s="393"/>
      <c r="I89" s="1312"/>
      <c r="J89" s="2021"/>
      <c r="K89" s="3417"/>
      <c r="L89" s="3014" t="s">
        <v>27</v>
      </c>
      <c r="M89" s="3005"/>
      <c r="N89" s="53">
        <f ca="1">ROUND(SUM(N83:N88),0)</f>
        <v>276</v>
      </c>
      <c r="O89" s="3015">
        <f ca="1">N89/N69</f>
        <v>1.6501255530312089E-2</v>
      </c>
      <c r="P89" s="2016"/>
      <c r="Q89" s="2016"/>
      <c r="R89" s="2016"/>
      <c r="S89" s="2016"/>
      <c r="T89" s="2016"/>
      <c r="U89" s="2016"/>
      <c r="V89" s="2016"/>
      <c r="W89" s="2020"/>
      <c r="X89" s="2020"/>
      <c r="Y89" s="2020"/>
      <c r="Z89" s="2020"/>
    </row>
    <row r="90" spans="1:26" s="1310" customFormat="1" ht="13.8">
      <c r="A90" s="381" t="s">
        <v>1822</v>
      </c>
      <c r="B90" s="382" t="s">
        <v>439</v>
      </c>
      <c r="C90" s="385">
        <f ca="1">ROUND(D63/(1+'数据-取费表'!C42),0)</f>
        <v>9558</v>
      </c>
      <c r="D90" s="378" t="s">
        <v>19</v>
      </c>
      <c r="E90" s="991"/>
      <c r="F90" s="990"/>
      <c r="G90" s="990"/>
      <c r="H90" s="394"/>
      <c r="I90" s="1312"/>
      <c r="J90" s="2021"/>
      <c r="K90" s="2016"/>
      <c r="L90" s="2016"/>
      <c r="M90" s="2016"/>
      <c r="N90" s="2016"/>
      <c r="O90" s="2016"/>
      <c r="P90" s="2016"/>
      <c r="Q90" s="2016"/>
      <c r="R90" s="2016"/>
      <c r="S90" s="2016"/>
      <c r="T90" s="2016"/>
      <c r="U90" s="2016"/>
      <c r="V90" s="2016"/>
      <c r="W90" s="2020"/>
      <c r="X90" s="2020"/>
      <c r="Y90" s="2020"/>
      <c r="Z90" s="2020"/>
    </row>
    <row r="91" spans="1:26" s="1310" customFormat="1" ht="13.8">
      <c r="A91" s="381" t="s">
        <v>1828</v>
      </c>
      <c r="B91" s="348" t="s">
        <v>440</v>
      </c>
      <c r="C91" s="385">
        <f ca="1">C92+C96</f>
        <v>2609</v>
      </c>
      <c r="D91" s="378" t="s">
        <v>19</v>
      </c>
      <c r="E91" s="991"/>
      <c r="F91" s="990"/>
      <c r="G91" s="990"/>
      <c r="H91" s="394"/>
      <c r="I91" s="1312"/>
      <c r="J91" s="2021"/>
      <c r="K91" s="2016"/>
      <c r="L91" s="2016"/>
      <c r="M91" s="2016"/>
      <c r="N91" s="2016"/>
      <c r="O91" s="2016"/>
      <c r="P91" s="2016"/>
      <c r="Q91" s="2016"/>
      <c r="R91" s="2016"/>
      <c r="S91" s="2016"/>
      <c r="T91" s="2016"/>
      <c r="U91" s="2016"/>
      <c r="V91" s="2016"/>
      <c r="W91" s="2020"/>
      <c r="X91" s="2020"/>
      <c r="Y91" s="2020"/>
      <c r="Z91" s="2020"/>
    </row>
    <row r="92" spans="1:26" s="1310" customFormat="1" ht="24">
      <c r="A92" s="395" t="s">
        <v>1829</v>
      </c>
      <c r="B92" s="376" t="s">
        <v>441</v>
      </c>
      <c r="C92" s="378">
        <f>ROUND(IF(G95="2016年5月1日后购买",C93/(1+'数据-取费表'!C30)+C94+C95,C93+C94+C95),0)</f>
        <v>2561</v>
      </c>
      <c r="D92" s="378" t="s">
        <v>19</v>
      </c>
      <c r="E92" s="991"/>
      <c r="F92" s="990"/>
      <c r="G92" s="990"/>
      <c r="H92" s="394"/>
      <c r="I92" s="1312"/>
      <c r="J92" s="2021"/>
      <c r="K92" s="2016"/>
      <c r="L92" s="2016"/>
      <c r="M92" s="2016"/>
      <c r="N92" s="2016"/>
      <c r="O92" s="2016"/>
      <c r="P92" s="2016"/>
      <c r="Q92" s="2016"/>
      <c r="R92" s="2016"/>
      <c r="S92" s="2016"/>
      <c r="T92" s="2016"/>
      <c r="U92" s="2016"/>
      <c r="V92" s="2016"/>
      <c r="W92" s="2020"/>
      <c r="X92" s="2020"/>
      <c r="Y92" s="2020"/>
      <c r="Z92" s="2020"/>
    </row>
    <row r="93" spans="1:26" s="1310" customFormat="1" ht="14.4">
      <c r="A93" s="395" t="s">
        <v>1830</v>
      </c>
      <c r="B93" s="376" t="s">
        <v>442</v>
      </c>
      <c r="C93" s="396">
        <v>2000</v>
      </c>
      <c r="D93" s="378" t="s">
        <v>19</v>
      </c>
      <c r="E93" s="397" t="s">
        <v>443</v>
      </c>
      <c r="F93" s="398" t="s">
        <v>444</v>
      </c>
      <c r="G93" s="397" t="s">
        <v>445</v>
      </c>
      <c r="H93" s="399">
        <v>5</v>
      </c>
      <c r="I93" s="11"/>
      <c r="J93" s="2016"/>
      <c r="K93" s="2016"/>
      <c r="L93" s="2016"/>
      <c r="M93" s="2016"/>
      <c r="N93" s="2016"/>
      <c r="O93" s="2016"/>
      <c r="P93" s="2016"/>
      <c r="Q93" s="2016"/>
      <c r="R93" s="2016"/>
      <c r="S93" s="2016"/>
      <c r="T93" s="2016"/>
      <c r="U93" s="2016"/>
      <c r="V93" s="2016"/>
      <c r="W93" s="2020"/>
      <c r="X93" s="2020"/>
      <c r="Y93" s="2020"/>
      <c r="Z93" s="2020"/>
    </row>
    <row r="94" spans="1:26" s="1310" customFormat="1" ht="24.75" customHeight="1">
      <c r="A94" s="395" t="s">
        <v>1831</v>
      </c>
      <c r="B94" s="400" t="s">
        <v>446</v>
      </c>
      <c r="C94" s="378">
        <f>IF(F93="购房发票",ROUND(C93*H93*5%,0),0)</f>
        <v>500</v>
      </c>
      <c r="D94" s="401">
        <v>0.05</v>
      </c>
      <c r="E94" s="3468" t="s">
        <v>447</v>
      </c>
      <c r="F94" s="3469"/>
      <c r="G94" s="3469"/>
      <c r="H94" s="3470"/>
      <c r="I94" s="1312"/>
      <c r="J94" s="2021"/>
      <c r="K94" s="2016"/>
      <c r="L94" s="2016"/>
      <c r="M94" s="2016"/>
      <c r="N94" s="2016"/>
      <c r="O94" s="2016"/>
      <c r="P94" s="2016"/>
      <c r="Q94" s="2016"/>
      <c r="R94" s="2016"/>
      <c r="S94" s="2016"/>
      <c r="T94" s="2016"/>
      <c r="U94" s="2016"/>
      <c r="V94" s="2016"/>
      <c r="W94" s="2020"/>
      <c r="X94" s="2020"/>
      <c r="Y94" s="2020"/>
      <c r="Z94" s="2020"/>
    </row>
    <row r="95" spans="1:26" s="1310"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2426</v>
      </c>
      <c r="H95" s="999" t="str">
        <f>IF(G95="个人买卖住房","免征印花税"," ")</f>
        <v xml:space="preserve"> </v>
      </c>
      <c r="I95" s="1312"/>
      <c r="J95" s="2021"/>
      <c r="K95" s="2016"/>
      <c r="L95" s="2016"/>
      <c r="M95" s="2016"/>
      <c r="N95" s="2016"/>
      <c r="O95" s="2016"/>
      <c r="P95" s="2016"/>
      <c r="Q95" s="2016"/>
      <c r="R95" s="2016"/>
      <c r="S95" s="2016"/>
      <c r="T95" s="2016"/>
      <c r="U95" s="2016"/>
      <c r="V95" s="2016"/>
      <c r="W95" s="2020"/>
      <c r="X95" s="2020"/>
      <c r="Y95" s="2020"/>
      <c r="Z95" s="2020"/>
    </row>
    <row r="96" spans="1:26" s="1310" customFormat="1" ht="24.75" customHeight="1">
      <c r="A96" s="395" t="s">
        <v>1833</v>
      </c>
      <c r="B96" s="376" t="s">
        <v>450</v>
      </c>
      <c r="C96" s="405">
        <f ca="1">ROUND(D63*D96/(1+'数据-取费表'!C42),0)</f>
        <v>48</v>
      </c>
      <c r="D96" s="406">
        <f>'数据-取费表'!B43</f>
        <v>5.000000000000001E-3</v>
      </c>
      <c r="E96" s="3458" t="s">
        <v>2425</v>
      </c>
      <c r="F96" s="3459"/>
      <c r="G96" s="3459"/>
      <c r="H96" s="3460"/>
      <c r="I96" s="1313"/>
      <c r="J96" s="2022"/>
      <c r="K96" s="2016"/>
      <c r="L96" s="2016"/>
      <c r="M96" s="2016"/>
      <c r="N96" s="2016"/>
      <c r="O96" s="2016"/>
      <c r="P96" s="2016"/>
      <c r="Q96" s="2016"/>
      <c r="R96" s="2016"/>
      <c r="S96" s="2016"/>
      <c r="T96" s="2016"/>
      <c r="U96" s="2016"/>
      <c r="V96" s="2016"/>
      <c r="W96" s="2020"/>
      <c r="X96" s="2020"/>
      <c r="Y96" s="2020"/>
      <c r="Z96" s="2020"/>
    </row>
    <row r="97" spans="1:26" s="1310" customFormat="1" ht="13.8">
      <c r="A97" s="1602" t="s">
        <v>1834</v>
      </c>
      <c r="B97" s="382" t="s">
        <v>451</v>
      </c>
      <c r="C97" s="385">
        <f ca="1">C90-C91</f>
        <v>6949</v>
      </c>
      <c r="D97" s="378" t="s">
        <v>19</v>
      </c>
      <c r="E97" s="991"/>
      <c r="F97" s="990"/>
      <c r="G97" s="990"/>
      <c r="H97" s="394"/>
      <c r="I97" s="1312"/>
      <c r="J97" s="2021"/>
      <c r="K97" s="2016"/>
      <c r="L97" s="2016"/>
      <c r="M97" s="2016"/>
      <c r="N97" s="2016"/>
      <c r="O97" s="2016"/>
      <c r="P97" s="2016"/>
      <c r="Q97" s="2016"/>
      <c r="R97" s="2016"/>
      <c r="S97" s="2016"/>
      <c r="T97" s="2016"/>
      <c r="U97" s="2016"/>
      <c r="V97" s="2016"/>
      <c r="W97" s="2020"/>
      <c r="X97" s="2020"/>
      <c r="Y97" s="2020"/>
      <c r="Z97" s="2020"/>
    </row>
    <row r="98" spans="1:26" s="1310" customFormat="1" ht="24">
      <c r="A98" s="1602" t="s">
        <v>1835</v>
      </c>
      <c r="B98" s="382" t="s">
        <v>452</v>
      </c>
      <c r="C98" s="407">
        <f ca="1">IF(C97&lt;=0,0,C97/C91)</f>
        <v>2.6634725948639324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1"/>
      <c r="K98" s="2016"/>
      <c r="L98" s="2016"/>
      <c r="M98" s="2016"/>
      <c r="N98" s="2016"/>
      <c r="O98" s="2016"/>
      <c r="P98" s="2016"/>
      <c r="Q98" s="2016"/>
      <c r="R98" s="2016"/>
      <c r="S98" s="2016"/>
      <c r="T98" s="2016"/>
      <c r="U98" s="2016"/>
      <c r="V98" s="2016"/>
      <c r="W98" s="2020"/>
      <c r="X98" s="2020"/>
      <c r="Y98" s="2020"/>
      <c r="Z98" s="2020"/>
    </row>
    <row r="99" spans="1:26" s="1310" customFormat="1" ht="24.6" thickBot="1">
      <c r="A99" s="1603" t="s">
        <v>1836</v>
      </c>
      <c r="B99" s="387" t="s">
        <v>453</v>
      </c>
      <c r="C99" s="408">
        <f ca="1">ROUND(IF(C97&lt;=0,0,IF(C98&gt;=200%,C97*60%-C91*35%,IF(C98&gt;=100%,C97*50%-C91*15%,IF(C98&gt;=50%,C97*40%-C91*5%,IF(C98&lt;50%,C97*30%,0))))),0)</f>
        <v>3256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1"/>
      <c r="K99" s="2016"/>
      <c r="L99" s="2016"/>
      <c r="M99" s="2016"/>
      <c r="N99" s="2016"/>
      <c r="O99" s="2016"/>
      <c r="P99" s="2016"/>
      <c r="Q99" s="2016"/>
      <c r="R99" s="2016"/>
      <c r="S99" s="2016"/>
      <c r="T99" s="2016"/>
      <c r="U99" s="2016"/>
      <c r="V99" s="2016"/>
      <c r="W99" s="2020"/>
      <c r="X99" s="2020"/>
      <c r="Y99" s="2020"/>
      <c r="Z99" s="2020"/>
    </row>
    <row r="100" spans="1:26" s="1310" customFormat="1" ht="7.5" customHeight="1">
      <c r="A100" s="1314"/>
      <c r="B100" s="1315"/>
      <c r="C100" s="11"/>
      <c r="D100" s="11"/>
      <c r="E100" s="1315"/>
      <c r="F100" s="1315"/>
      <c r="G100" s="1315"/>
      <c r="H100" s="1316"/>
      <c r="I100" s="1313"/>
      <c r="J100" s="2022"/>
      <c r="K100" s="2016"/>
      <c r="L100" s="2016"/>
      <c r="M100" s="2016"/>
      <c r="N100" s="2016"/>
      <c r="O100" s="2016"/>
      <c r="P100" s="2016"/>
      <c r="Q100" s="2016"/>
      <c r="R100" s="2016"/>
      <c r="S100" s="2016"/>
      <c r="T100" s="2016"/>
      <c r="U100" s="2016"/>
      <c r="V100" s="2016"/>
      <c r="W100" s="2020"/>
      <c r="X100" s="2020"/>
      <c r="Y100" s="2020"/>
      <c r="Z100" s="2020"/>
    </row>
    <row r="101" spans="1:26" s="1310" customFormat="1" ht="14.4" thickBot="1">
      <c r="A101" s="3471" t="s">
        <v>454</v>
      </c>
      <c r="B101" s="3472"/>
      <c r="C101" s="3472"/>
      <c r="D101" s="3472"/>
      <c r="E101" s="3472"/>
      <c r="F101" s="3472"/>
      <c r="G101" s="3472"/>
      <c r="H101" s="3472"/>
      <c r="I101" s="11"/>
      <c r="J101" s="2016"/>
      <c r="K101" s="2016"/>
      <c r="L101" s="2016"/>
      <c r="M101" s="2016"/>
      <c r="N101" s="2016"/>
      <c r="O101" s="2016"/>
      <c r="P101" s="2016"/>
      <c r="Q101" s="2016"/>
      <c r="R101" s="2016"/>
      <c r="S101" s="2016"/>
      <c r="T101" s="2016"/>
      <c r="U101" s="2016"/>
      <c r="V101" s="2016"/>
      <c r="W101" s="2020"/>
      <c r="X101" s="2020"/>
      <c r="Y101" s="2020"/>
      <c r="Z101" s="2020"/>
    </row>
    <row r="102" spans="1:26" s="1310" customFormat="1" ht="13.8">
      <c r="A102" s="3435" t="s">
        <v>428</v>
      </c>
      <c r="B102" s="3436"/>
      <c r="C102" s="994"/>
      <c r="D102" s="994" t="s">
        <v>429</v>
      </c>
      <c r="E102" s="391" t="s">
        <v>438</v>
      </c>
      <c r="F102" s="392"/>
      <c r="G102" s="392"/>
      <c r="H102" s="413"/>
      <c r="I102" s="11"/>
      <c r="J102" s="2016"/>
      <c r="K102" s="2016"/>
      <c r="L102" s="2016"/>
      <c r="M102" s="2016"/>
      <c r="N102" s="2016"/>
      <c r="O102" s="2016"/>
      <c r="P102" s="2016"/>
      <c r="Q102" s="2016"/>
      <c r="R102" s="2016"/>
      <c r="S102" s="2016"/>
      <c r="T102" s="2016"/>
      <c r="U102" s="2016"/>
      <c r="V102" s="2016"/>
      <c r="W102" s="2020"/>
      <c r="X102" s="2020"/>
      <c r="Y102" s="2020"/>
      <c r="Z102" s="2020"/>
    </row>
    <row r="103" spans="1:26" s="1310" customFormat="1" ht="13.8">
      <c r="A103" s="381" t="s">
        <v>1822</v>
      </c>
      <c r="B103" s="382" t="s">
        <v>439</v>
      </c>
      <c r="C103" s="385">
        <f ca="1">ROUND(D63/(1+'数据-取费表'!C42),0)</f>
        <v>9558</v>
      </c>
      <c r="D103" s="378" t="s">
        <v>19</v>
      </c>
      <c r="E103" s="991"/>
      <c r="F103" s="990"/>
      <c r="G103" s="990"/>
      <c r="H103" s="414"/>
      <c r="I103" s="11"/>
      <c r="J103" s="2016"/>
      <c r="K103" s="2016"/>
      <c r="L103" s="2016"/>
      <c r="M103" s="2016"/>
      <c r="N103" s="2016"/>
      <c r="O103" s="2016"/>
      <c r="P103" s="2016"/>
      <c r="Q103" s="2016"/>
      <c r="R103" s="2016"/>
      <c r="S103" s="2016"/>
      <c r="T103" s="2016"/>
      <c r="U103" s="2016"/>
      <c r="V103" s="2016"/>
      <c r="W103" s="2020"/>
      <c r="X103" s="2020"/>
      <c r="Y103" s="2020"/>
      <c r="Z103" s="2020"/>
    </row>
    <row r="104" spans="1:26" s="1310" customFormat="1" ht="13.8">
      <c r="A104" s="381" t="s">
        <v>1828</v>
      </c>
      <c r="B104" s="348" t="s">
        <v>440</v>
      </c>
      <c r="C104" s="385">
        <f ca="1">IF(H106="仅含出让金",C105+C108+C109+C110+C111+C112,C105+C109+C110+C111+C112)</f>
        <v>738</v>
      </c>
      <c r="D104" s="415"/>
      <c r="E104" s="991"/>
      <c r="F104" s="990"/>
      <c r="G104" s="990"/>
      <c r="H104" s="414"/>
      <c r="I104" s="11"/>
      <c r="J104" s="2016"/>
      <c r="K104" s="2016"/>
      <c r="L104" s="2016"/>
      <c r="M104" s="2016"/>
      <c r="N104" s="2016"/>
      <c r="O104" s="2016"/>
      <c r="P104" s="2016"/>
      <c r="Q104" s="2016"/>
      <c r="R104" s="2016"/>
      <c r="S104" s="2016"/>
      <c r="T104" s="2016"/>
      <c r="U104" s="2016"/>
      <c r="V104" s="2016"/>
      <c r="W104" s="2020"/>
      <c r="X104" s="2020"/>
      <c r="Y104" s="2020"/>
      <c r="Z104" s="2020"/>
    </row>
    <row r="105" spans="1:26" s="1310" customFormat="1" ht="13.8">
      <c r="A105" s="395" t="s">
        <v>1829</v>
      </c>
      <c r="B105" s="376" t="s">
        <v>455</v>
      </c>
      <c r="C105" s="405">
        <f>C106+C107</f>
        <v>572</v>
      </c>
      <c r="D105" s="406"/>
      <c r="E105" s="985"/>
      <c r="F105" s="986"/>
      <c r="G105" s="986"/>
      <c r="H105" s="987"/>
      <c r="I105" s="11"/>
      <c r="J105" s="2016"/>
      <c r="K105" s="2016"/>
      <c r="L105" s="2016"/>
      <c r="M105" s="2016"/>
      <c r="N105" s="2016"/>
      <c r="O105" s="2016"/>
      <c r="P105" s="2016"/>
      <c r="Q105" s="2016"/>
      <c r="R105" s="2016"/>
      <c r="S105" s="2016"/>
      <c r="T105" s="2016"/>
      <c r="U105" s="2016"/>
      <c r="V105" s="2016"/>
      <c r="W105" s="2020"/>
      <c r="X105" s="2020"/>
      <c r="Y105" s="2020"/>
      <c r="Z105" s="2020"/>
    </row>
    <row r="106" spans="1:26" s="1310" customFormat="1" ht="26.4">
      <c r="A106" s="395" t="s">
        <v>1830</v>
      </c>
      <c r="B106" s="376" t="s">
        <v>456</v>
      </c>
      <c r="C106" s="416">
        <v>555</v>
      </c>
      <c r="D106" s="406"/>
      <c r="E106" s="417" t="s">
        <v>457</v>
      </c>
      <c r="F106" s="986"/>
      <c r="G106" s="418" t="s">
        <v>458</v>
      </c>
      <c r="H106" s="419" t="s">
        <v>2436</v>
      </c>
      <c r="I106" s="11"/>
      <c r="J106" s="2016"/>
      <c r="K106" s="2016"/>
      <c r="L106" s="2016"/>
      <c r="M106" s="2016"/>
      <c r="N106" s="2016"/>
      <c r="O106" s="2016"/>
      <c r="P106" s="2016"/>
      <c r="Q106" s="2016"/>
      <c r="R106" s="2016"/>
      <c r="S106" s="2016"/>
      <c r="T106" s="2016"/>
      <c r="U106" s="2016"/>
      <c r="V106" s="2016"/>
      <c r="W106" s="2020"/>
      <c r="X106" s="2020"/>
      <c r="Y106" s="2020"/>
      <c r="Z106" s="2020"/>
    </row>
    <row r="107" spans="1:26" s="1310" customFormat="1" ht="13.8">
      <c r="A107" s="395" t="s">
        <v>1831</v>
      </c>
      <c r="B107" s="376" t="s">
        <v>448</v>
      </c>
      <c r="C107" s="405">
        <f>ROUND(C106*D107,0)</f>
        <v>17</v>
      </c>
      <c r="D107" s="406">
        <f>'数据-取费表'!B48+'数据-取费表'!B49</f>
        <v>3.0499999999999999E-2</v>
      </c>
      <c r="E107" s="417" t="s">
        <v>459</v>
      </c>
      <c r="F107" s="986"/>
      <c r="G107" s="986"/>
      <c r="H107" s="987"/>
      <c r="I107" s="11"/>
      <c r="J107" s="2016"/>
      <c r="K107" s="2016"/>
      <c r="L107" s="2016"/>
      <c r="M107" s="2016"/>
      <c r="N107" s="2016"/>
      <c r="O107" s="2016"/>
      <c r="P107" s="2016"/>
      <c r="Q107" s="2016"/>
      <c r="R107" s="2016"/>
      <c r="S107" s="2016"/>
      <c r="T107" s="2016"/>
      <c r="U107" s="2016"/>
      <c r="V107" s="2016"/>
      <c r="W107" s="2020"/>
      <c r="X107" s="2020"/>
      <c r="Y107" s="2020"/>
      <c r="Z107" s="2020"/>
    </row>
    <row r="108" spans="1:26" s="1310" customFormat="1" ht="13.8">
      <c r="A108" s="395" t="s">
        <v>1833</v>
      </c>
      <c r="B108" s="376" t="s">
        <v>460</v>
      </c>
      <c r="C108" s="416"/>
      <c r="D108" s="406"/>
      <c r="E108" s="417" t="str">
        <f>IF(H106="-","土地取得成本中已包含该笔费用"," ")</f>
        <v xml:space="preserve"> </v>
      </c>
      <c r="F108" s="986"/>
      <c r="G108" s="986"/>
      <c r="H108" s="987"/>
      <c r="I108" s="11"/>
      <c r="J108" s="2016"/>
      <c r="K108" s="2016"/>
      <c r="L108" s="2016"/>
      <c r="M108" s="2016"/>
      <c r="N108" s="2016"/>
      <c r="O108" s="2016"/>
      <c r="P108" s="2016"/>
      <c r="Q108" s="2016"/>
      <c r="R108" s="2016"/>
      <c r="S108" s="2016"/>
      <c r="T108" s="2016"/>
      <c r="U108" s="2016"/>
      <c r="V108" s="2016"/>
      <c r="W108" s="2020"/>
      <c r="X108" s="2020"/>
      <c r="Y108" s="2020"/>
      <c r="Z108" s="2020"/>
    </row>
    <row r="109" spans="1:26" s="1310" customFormat="1" ht="24" customHeight="1">
      <c r="A109" s="1604" t="s">
        <v>1837</v>
      </c>
      <c r="B109" s="376" t="s">
        <v>461</v>
      </c>
      <c r="C109" s="405">
        <f>IF(H109="——",IF(F1="现房",'剩余法-现房'!C18,'剩余法-待开发'!C18),I109)</f>
        <v>55</v>
      </c>
      <c r="D109" s="406"/>
      <c r="E109" s="3461" t="s">
        <v>462</v>
      </c>
      <c r="F109" s="3459"/>
      <c r="G109" s="3459"/>
      <c r="H109" s="1924" t="s">
        <v>2276</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10" customFormat="1" ht="25.5" customHeight="1">
      <c r="A110" s="1604" t="s">
        <v>1838</v>
      </c>
      <c r="B110" s="376" t="s">
        <v>463</v>
      </c>
      <c r="C110" s="405">
        <f>ROUND((C105+C108+C109)*D110,0)</f>
        <v>63</v>
      </c>
      <c r="D110" s="406">
        <v>0.1</v>
      </c>
      <c r="E110" s="3461" t="s">
        <v>464</v>
      </c>
      <c r="F110" s="3459"/>
      <c r="G110" s="3459"/>
      <c r="H110" s="3460"/>
      <c r="I110" s="11"/>
      <c r="J110" s="2016"/>
      <c r="K110" s="2016"/>
      <c r="L110" s="2016"/>
      <c r="M110" s="2016"/>
      <c r="N110" s="2016"/>
      <c r="O110" s="2016"/>
      <c r="P110" s="2016"/>
      <c r="Q110" s="2016"/>
      <c r="R110" s="2016"/>
      <c r="S110" s="2016"/>
      <c r="T110" s="2016"/>
      <c r="U110" s="2016"/>
      <c r="V110" s="2016"/>
      <c r="W110" s="2020"/>
      <c r="X110" s="2020"/>
      <c r="Y110" s="2020"/>
      <c r="Z110" s="2020"/>
    </row>
    <row r="111" spans="1:26" s="1310" customFormat="1" ht="25.5" customHeight="1">
      <c r="A111" s="1604" t="s">
        <v>1839</v>
      </c>
      <c r="B111" s="376" t="s">
        <v>450</v>
      </c>
      <c r="C111" s="405">
        <f ca="1">ROUND(D63*D111/(1+'数据-取费表'!C42),0)</f>
        <v>48</v>
      </c>
      <c r="D111" s="406">
        <f>'数据-取费表'!B43</f>
        <v>5.000000000000001E-3</v>
      </c>
      <c r="E111" s="3458" t="s">
        <v>2425</v>
      </c>
      <c r="F111" s="3459"/>
      <c r="G111" s="3459"/>
      <c r="H111" s="3460"/>
      <c r="I111" s="11"/>
      <c r="J111" s="2016"/>
      <c r="K111" s="2016"/>
      <c r="L111" s="2016"/>
      <c r="M111" s="2016"/>
      <c r="N111" s="2016"/>
      <c r="O111" s="2016"/>
      <c r="P111" s="2016"/>
      <c r="Q111" s="2016"/>
      <c r="R111" s="2016"/>
      <c r="S111" s="2016"/>
      <c r="T111" s="2016"/>
      <c r="U111" s="2016"/>
      <c r="V111" s="2016"/>
      <c r="W111" s="2020"/>
      <c r="X111" s="2020"/>
      <c r="Y111" s="2020"/>
      <c r="Z111" s="2020"/>
    </row>
    <row r="112" spans="1:26" s="1310" customFormat="1" ht="25.5" customHeight="1">
      <c r="A112" s="1604" t="s">
        <v>1840</v>
      </c>
      <c r="B112" s="376" t="s">
        <v>465</v>
      </c>
      <c r="C112" s="405">
        <f>ROUND(C108*D112,0)</f>
        <v>0</v>
      </c>
      <c r="D112" s="406">
        <v>0.2</v>
      </c>
      <c r="E112" s="3461" t="s">
        <v>2450</v>
      </c>
      <c r="F112" s="3459"/>
      <c r="G112" s="3459"/>
      <c r="H112" s="3460"/>
      <c r="I112" s="11"/>
      <c r="J112" s="2016"/>
      <c r="K112" s="2016"/>
      <c r="L112" s="2016"/>
      <c r="M112" s="2016"/>
      <c r="N112" s="2016"/>
      <c r="O112" s="2016"/>
      <c r="P112" s="2016"/>
      <c r="Q112" s="2016"/>
      <c r="R112" s="2016"/>
      <c r="S112" s="2016"/>
      <c r="T112" s="2016"/>
      <c r="U112" s="2016"/>
      <c r="V112" s="2016"/>
      <c r="W112" s="2020"/>
      <c r="X112" s="2020"/>
      <c r="Y112" s="2020"/>
      <c r="Z112" s="2020"/>
    </row>
    <row r="113" spans="1:26" s="1310" customFormat="1" ht="13.8">
      <c r="A113" s="1602" t="s">
        <v>1834</v>
      </c>
      <c r="B113" s="382" t="s">
        <v>451</v>
      </c>
      <c r="C113" s="385">
        <f ca="1">ROUND(C103-C104,0)</f>
        <v>8820</v>
      </c>
      <c r="D113" s="378" t="s">
        <v>19</v>
      </c>
      <c r="E113" s="991"/>
      <c r="F113" s="990"/>
      <c r="G113" s="990"/>
      <c r="H113" s="414"/>
      <c r="I113" s="11"/>
      <c r="J113" s="2016"/>
      <c r="K113" s="2016"/>
      <c r="L113" s="2016"/>
      <c r="M113" s="2016"/>
      <c r="N113" s="2016"/>
      <c r="O113" s="2016"/>
      <c r="P113" s="2016"/>
      <c r="Q113" s="2016"/>
      <c r="R113" s="2016"/>
      <c r="S113" s="2016"/>
      <c r="T113" s="2016"/>
      <c r="U113" s="2016"/>
      <c r="V113" s="2016"/>
      <c r="W113" s="2020"/>
      <c r="X113" s="2020"/>
      <c r="Y113" s="2020"/>
      <c r="Z113" s="2020"/>
    </row>
    <row r="114" spans="1:26" s="1310" customFormat="1" ht="24">
      <c r="A114" s="1602" t="s">
        <v>1835</v>
      </c>
      <c r="B114" s="382" t="s">
        <v>452</v>
      </c>
      <c r="C114" s="407">
        <f ca="1">IF(C113&lt;=0,0,C113/C104)</f>
        <v>11.951219512195122</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6"/>
      <c r="K114" s="2016"/>
      <c r="L114" s="2016"/>
      <c r="M114" s="2016"/>
      <c r="N114" s="2016"/>
      <c r="O114" s="2016"/>
      <c r="P114" s="2016"/>
      <c r="Q114" s="2016"/>
      <c r="R114" s="2016"/>
      <c r="S114" s="2016"/>
      <c r="T114" s="2016"/>
      <c r="U114" s="2016"/>
      <c r="V114" s="2016"/>
      <c r="W114" s="2020"/>
      <c r="X114" s="2020"/>
      <c r="Y114" s="2020"/>
      <c r="Z114" s="2020"/>
    </row>
    <row r="115" spans="1:26" s="1310" customFormat="1" ht="24.6" thickBot="1">
      <c r="A115" s="1603" t="s">
        <v>1836</v>
      </c>
      <c r="B115" s="387" t="s">
        <v>453</v>
      </c>
      <c r="C115" s="408">
        <f ca="1">ROUND(IF(C113&lt;=0,0,IF(C114&gt;=200%,C113*60%-C104*35%,IF(C114&gt;=100%,C113*50%-C104*15%,IF(C114&gt;=50%,C113*40%-C104*5%,IF(C114&lt;50%,C113*30%,0))))),0)</f>
        <v>5034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7" customFormat="1" ht="21.75" customHeight="1">
      <c r="K185" s="2024"/>
      <c r="L185" s="2024"/>
      <c r="M185" s="2024"/>
      <c r="N185" s="2024"/>
      <c r="O185" s="2024"/>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14"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"100%,80%,60%,64%"</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H77" xr:uid="{00000000-0002-0000-1100-00000A000000}">
      <formula1>"非个人房产,个人住宅,个人非住宅"</formula1>
    </dataValidation>
    <dataValidation type="list" allowBlank="1" showInputMessage="1" showErrorMessage="1" sqref="B25" xr:uid="{00000000-0002-0000-1100-00000B000000}">
      <formula1>"楼面地价,单位面积地价"</formula1>
    </dataValidation>
    <dataValidation type="list" allowBlank="1" showInputMessage="1" showErrorMessage="1" sqref="L42" xr:uid="{00000000-0002-0000-1100-00000C000000}">
      <formula1>"估价结果/万元,估价结果/（元/平方米）"</formula1>
    </dataValidation>
    <dataValidation type="list" allowBlank="1" showInputMessage="1" showErrorMessage="1" sqref="O42" xr:uid="{00000000-0002-0000-1100-00000D000000}">
      <formula1>"最终结果/万元,最终结果/（元/平方米）"</formula1>
    </dataValidation>
    <dataValidation type="list" allowBlank="1" showInputMessage="1" showErrorMessage="1" sqref="N42" xr:uid="{00000000-0002-0000-1100-00000E000000}">
      <formula1>"测算结果/万元,测算结果/（元/平方米）"</formula1>
    </dataValidation>
    <dataValidation type="list" allowBlank="1" showInputMessage="1" showErrorMessage="1" sqref="D1" xr:uid="{00000000-0002-0000-1100-00000F000000}">
      <formula1>"项目局部,项目全部"</formula1>
    </dataValidation>
    <dataValidation type="list" showInputMessage="1" showErrorMessage="1" sqref="F1" xr:uid="{00000000-0002-0000-1100-000010000000}">
      <formula1>"土地,现房"</formula1>
    </dataValidation>
    <dataValidation type="list" allowBlank="1" showInputMessage="1" showErrorMessage="1" sqref="H109" xr:uid="{00000000-0002-0000-1100-000011000000}">
      <formula1>"企业提供(在右侧录入),——"</formula1>
    </dataValidation>
    <dataValidation type="list" allowBlank="1" showInputMessage="1" showErrorMessage="1" sqref="G43" xr:uid="{00000000-0002-0000-1100-000012000000}">
      <formula1>"设定,——"</formula1>
    </dataValidation>
    <dataValidation type="list" allowBlank="1" showInputMessage="1" showErrorMessage="1" sqref="A43" xr:uid="{00000000-0002-0000-1100-000013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8"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92D050"/>
    <pageSetUpPr fitToPage="1"/>
  </sheetPr>
  <dimension ref="A1:AD259"/>
  <sheetViews>
    <sheetView view="pageBreakPreview" topLeftCell="A32" zoomScale="80" zoomScaleNormal="95" zoomScaleSheetLayoutView="80" workbookViewId="0">
      <selection activeCell="H59" sqref="H59"/>
    </sheetView>
  </sheetViews>
  <sheetFormatPr defaultColWidth="9" defaultRowHeight="13.8"/>
  <cols>
    <col min="1" max="1" width="15.6640625" style="1333" customWidth="1"/>
    <col min="2" max="2" width="15.77734375" style="1333" customWidth="1"/>
    <col min="3" max="3" width="15.2187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1"/>
    </row>
    <row r="2" spans="1:30" s="1332" customFormat="1" ht="28.5" customHeight="1">
      <c r="A2" s="423" t="s">
        <v>467</v>
      </c>
      <c r="B2" s="508">
        <f>F68</f>
        <v>16601</v>
      </c>
      <c r="C2" s="2110"/>
      <c r="D2" s="2110"/>
      <c r="E2" s="2111"/>
      <c r="F2" s="2112"/>
      <c r="G2" s="2111"/>
      <c r="H2" s="2111"/>
      <c r="I2" s="2111"/>
      <c r="J2" s="2111"/>
      <c r="K2" s="2113"/>
      <c r="L2" s="2114"/>
      <c r="M2" s="2115"/>
      <c r="N2" s="2115"/>
      <c r="O2" s="2115"/>
      <c r="P2" s="1550"/>
      <c r="Q2" s="1550"/>
      <c r="R2" s="1550"/>
      <c r="S2" s="1550"/>
      <c r="T2" s="1550"/>
      <c r="U2" s="1550"/>
      <c r="V2" s="1550"/>
      <c r="W2" s="1550"/>
      <c r="X2" s="1550"/>
      <c r="Y2" s="1550"/>
      <c r="Z2" s="1550"/>
      <c r="AA2" s="1550"/>
      <c r="AB2" s="1550"/>
      <c r="AC2" s="1551"/>
      <c r="AD2" s="1331"/>
    </row>
    <row r="3" spans="1:30" s="1332" customFormat="1" ht="28.5" customHeight="1">
      <c r="A3" s="1375" t="s">
        <v>1683</v>
      </c>
      <c r="B3" s="510">
        <f>ROUND(B2*10000/'数据-汇总表'!E3,0)</f>
        <v>989</v>
      </c>
      <c r="C3" s="2044"/>
      <c r="D3" s="2532"/>
      <c r="E3" s="2044"/>
      <c r="F3" s="2044"/>
      <c r="G3" s="2111"/>
      <c r="H3" s="2111"/>
      <c r="I3" s="2111"/>
      <c r="J3" s="2111"/>
      <c r="K3" s="2113"/>
      <c r="L3" s="2114"/>
      <c r="M3" s="2115"/>
      <c r="N3" s="2115"/>
      <c r="O3" s="2115"/>
      <c r="P3" s="1550"/>
      <c r="Q3" s="1550"/>
      <c r="R3" s="1550"/>
      <c r="S3" s="1550"/>
      <c r="T3" s="1550"/>
      <c r="U3" s="1550"/>
      <c r="V3" s="1550"/>
      <c r="W3" s="1550"/>
      <c r="X3" s="1550"/>
      <c r="Y3" s="1550"/>
      <c r="Z3" s="1550"/>
      <c r="AA3" s="1550"/>
      <c r="AB3" s="1552"/>
      <c r="AC3" s="428"/>
    </row>
    <row r="4" spans="1:30" s="1332" customFormat="1" ht="28.5" customHeight="1">
      <c r="A4" s="511" t="s">
        <v>520</v>
      </c>
      <c r="B4" s="427">
        <f>IF(B48="单位面积地价",C50,ROUND(B2*10000/'数据-汇总表'!D3,0))</f>
        <v>7437</v>
      </c>
      <c r="C4" s="2044"/>
      <c r="D4" s="2532"/>
      <c r="E4" s="2044"/>
      <c r="F4" s="2044"/>
      <c r="G4" s="2111"/>
      <c r="H4" s="2111"/>
      <c r="I4" s="2111"/>
      <c r="J4" s="2111"/>
      <c r="K4" s="2113"/>
      <c r="L4" s="2114"/>
      <c r="M4" s="2115"/>
      <c r="N4" s="2115"/>
      <c r="O4" s="2115"/>
      <c r="P4" s="1550"/>
      <c r="Q4" s="1550"/>
      <c r="R4" s="1550"/>
      <c r="S4" s="1550"/>
      <c r="T4" s="1550"/>
      <c r="U4" s="1550"/>
      <c r="V4" s="1550"/>
      <c r="W4" s="1550"/>
      <c r="X4" s="1550"/>
      <c r="Y4" s="1550"/>
      <c r="Z4" s="1550"/>
      <c r="AA4" s="1550"/>
      <c r="AB4" s="1550"/>
      <c r="AC4" s="428"/>
    </row>
    <row r="5" spans="1:30" s="1332" customFormat="1" ht="28.5" customHeight="1" thickBot="1">
      <c r="A5" s="429"/>
      <c r="B5" s="430">
        <f>ROUND(B2/('数据-汇总表'!D3/666.67),0)</f>
        <v>496</v>
      </c>
      <c r="C5" s="431" t="s">
        <v>469</v>
      </c>
      <c r="D5" s="2044"/>
      <c r="E5" s="2044"/>
      <c r="F5" s="2044"/>
      <c r="G5" s="2111"/>
      <c r="H5" s="2111"/>
      <c r="I5" s="2111"/>
      <c r="J5" s="2111"/>
      <c r="K5" s="2113"/>
      <c r="L5" s="2114"/>
      <c r="M5" s="2115"/>
      <c r="N5" s="2115"/>
      <c r="O5" s="2115"/>
      <c r="P5" s="1550"/>
      <c r="Q5" s="1550"/>
      <c r="R5" s="1550"/>
      <c r="S5" s="1550"/>
      <c r="T5" s="1550"/>
      <c r="U5" s="1550"/>
      <c r="V5" s="1550"/>
      <c r="W5" s="1550"/>
      <c r="X5" s="1550"/>
      <c r="Y5" s="1550"/>
      <c r="Z5" s="1550"/>
      <c r="AA5" s="1550"/>
      <c r="AB5" s="1550"/>
      <c r="AC5" s="428"/>
    </row>
    <row r="6" spans="1:30" ht="21">
      <c r="A6" s="512" t="s">
        <v>521</v>
      </c>
      <c r="B6" s="513"/>
      <c r="C6" s="3516" t="s">
        <v>522</v>
      </c>
      <c r="D6" s="3517"/>
      <c r="E6" s="3516" t="s">
        <v>523</v>
      </c>
      <c r="F6" s="3517"/>
      <c r="G6" s="3516" t="s">
        <v>524</v>
      </c>
      <c r="H6" s="3517"/>
      <c r="I6" s="3516" t="s">
        <v>525</v>
      </c>
      <c r="J6" s="3517"/>
      <c r="K6" s="514" t="s">
        <v>526</v>
      </c>
      <c r="L6" s="2116"/>
      <c r="M6" s="2115"/>
      <c r="N6" s="2115"/>
      <c r="O6" s="2117"/>
      <c r="P6" s="3518" t="s">
        <v>527</v>
      </c>
      <c r="Q6" s="3519"/>
      <c r="R6" s="3504" t="s">
        <v>523</v>
      </c>
      <c r="S6" s="3505"/>
      <c r="T6" s="3504" t="s">
        <v>524</v>
      </c>
      <c r="U6" s="3505"/>
      <c r="V6" s="3524" t="s">
        <v>525</v>
      </c>
      <c r="W6" s="3524"/>
      <c r="X6" s="1553"/>
      <c r="Y6" s="3504" t="s">
        <v>527</v>
      </c>
      <c r="Z6" s="3505"/>
      <c r="AA6" s="3499" t="s">
        <v>523</v>
      </c>
      <c r="AB6" s="3500" t="s">
        <v>524</v>
      </c>
      <c r="AC6" s="3499" t="s">
        <v>525</v>
      </c>
    </row>
    <row r="7" spans="1:30" ht="45.6" customHeight="1">
      <c r="A7" s="515"/>
      <c r="B7" s="516"/>
      <c r="C7" s="3527" t="s">
        <v>2923</v>
      </c>
      <c r="D7" s="3528"/>
      <c r="E7" s="3527" t="str">
        <f>土地案例!A3</f>
        <v>潼南金福新区A8号地块</v>
      </c>
      <c r="F7" s="3528"/>
      <c r="G7" s="3527" t="str">
        <f>土地案例!$A$8</f>
        <v>潼南工业园区南区创意大道(规划地块编号:潼南工业园区(南区)F-69-06号地块</v>
      </c>
      <c r="H7" s="3528"/>
      <c r="I7" s="3527" t="str">
        <f>土地案例!$A$14</f>
        <v>工业园区南区G9-02/01(规划编号E-53-02)地块</v>
      </c>
      <c r="J7" s="3528"/>
      <c r="K7" s="514"/>
      <c r="L7" s="2116"/>
      <c r="M7" s="2115"/>
      <c r="N7" s="2115"/>
      <c r="O7" s="2117"/>
      <c r="P7" s="3520"/>
      <c r="Q7" s="3521"/>
      <c r="R7" s="3506"/>
      <c r="S7" s="3507"/>
      <c r="T7" s="3506"/>
      <c r="U7" s="3507"/>
      <c r="V7" s="3524"/>
      <c r="W7" s="3524"/>
      <c r="X7" s="1553"/>
      <c r="Y7" s="3506"/>
      <c r="Z7" s="3507"/>
      <c r="AA7" s="3500"/>
      <c r="AB7" s="3500"/>
      <c r="AC7" s="3500"/>
    </row>
    <row r="8" spans="1:30" ht="21.6" thickBot="1">
      <c r="A8" s="515"/>
      <c r="B8" s="516"/>
      <c r="C8" s="3529" t="s">
        <v>2927</v>
      </c>
      <c r="D8" s="3530"/>
      <c r="E8" s="3529" t="s">
        <v>2927</v>
      </c>
      <c r="F8" s="3530"/>
      <c r="G8" s="3525" t="s">
        <v>2927</v>
      </c>
      <c r="H8" s="3526"/>
      <c r="I8" s="3525" t="s">
        <v>2927</v>
      </c>
      <c r="J8" s="3526"/>
      <c r="K8" s="514" t="s">
        <v>528</v>
      </c>
      <c r="L8" s="2116"/>
      <c r="M8" s="2115"/>
      <c r="N8" s="2115"/>
      <c r="O8" s="2117"/>
      <c r="P8" s="3522"/>
      <c r="Q8" s="3523"/>
      <c r="R8" s="3506"/>
      <c r="S8" s="3507"/>
      <c r="T8" s="3508"/>
      <c r="U8" s="3509"/>
      <c r="V8" s="3524"/>
      <c r="W8" s="3524"/>
      <c r="X8" s="1553"/>
      <c r="Y8" s="3508"/>
      <c r="Z8" s="3509"/>
      <c r="AA8" s="3501"/>
      <c r="AB8" s="3501"/>
      <c r="AC8" s="3501"/>
    </row>
    <row r="9" spans="1:30" s="1216" customFormat="1" ht="21.6" thickBot="1">
      <c r="A9" s="2865"/>
      <c r="B9" s="2872" t="s">
        <v>529</v>
      </c>
      <c r="C9" s="2864">
        <f>'数据-取费表'!B2</f>
        <v>43889</v>
      </c>
      <c r="D9" s="520">
        <v>100</v>
      </c>
      <c r="E9" s="521" t="str">
        <f>土地案例!H3</f>
        <v>2019-12-19</v>
      </c>
      <c r="F9" s="522">
        <f>SUMIF(72:72,YEAR(E9)&amp;"-"&amp;INT((MONTH(E9)+2)/3),73:73)</f>
        <v>99</v>
      </c>
      <c r="G9" s="523" t="str">
        <f>土地案例!$H$8</f>
        <v>2019-11-13</v>
      </c>
      <c r="H9" s="520">
        <f>SUMIF(72:72,YEAR(G9)&amp;"-"&amp;INT((MONTH(G9)+2)/3),73:73)</f>
        <v>99</v>
      </c>
      <c r="I9" s="523" t="str">
        <f>土地案例!$H$14</f>
        <v>2019-06-25</v>
      </c>
      <c r="J9" s="520">
        <f>SUMIF(72:72,YEAR(I9)&amp;"-"&amp;INT((MONTH(I9)+2)/3),73:73)</f>
        <v>97</v>
      </c>
      <c r="K9" s="524"/>
      <c r="L9" s="2118"/>
      <c r="M9" s="2115"/>
      <c r="N9" s="2115"/>
      <c r="O9" s="2119"/>
      <c r="P9" s="3502" t="s">
        <v>530</v>
      </c>
      <c r="Q9" s="3511"/>
      <c r="R9" s="1554" t="s">
        <v>8</v>
      </c>
      <c r="S9" s="1555">
        <f t="shared" ref="S9:S17" si="0">F9</f>
        <v>99</v>
      </c>
      <c r="T9" s="1554" t="s">
        <v>8</v>
      </c>
      <c r="U9" s="1555">
        <f t="shared" ref="U9:U17" si="1">H9</f>
        <v>99</v>
      </c>
      <c r="V9" s="1554" t="s">
        <v>8</v>
      </c>
      <c r="W9" s="1555">
        <f t="shared" ref="W9:W17" si="2">J9</f>
        <v>97</v>
      </c>
      <c r="X9" s="1556"/>
      <c r="Y9" s="3502" t="s">
        <v>530</v>
      </c>
      <c r="Z9" s="3503"/>
      <c r="AA9" s="1557">
        <f>D9/F9</f>
        <v>1.0101010101010102</v>
      </c>
      <c r="AB9" s="1557">
        <f>D9/H9</f>
        <v>1.0101010101010102</v>
      </c>
      <c r="AC9" s="1557">
        <f>D9/J9</f>
        <v>1.0309278350515463</v>
      </c>
    </row>
    <row r="10" spans="1:30" s="1216" customFormat="1" ht="21.6" thickBot="1">
      <c r="A10" s="2866"/>
      <c r="B10" s="2873" t="s">
        <v>531</v>
      </c>
      <c r="C10" s="856" t="s">
        <v>532</v>
      </c>
      <c r="D10" s="520">
        <v>100</v>
      </c>
      <c r="E10" s="525" t="s">
        <v>3141</v>
      </c>
      <c r="F10" s="522">
        <f>SUMIF(75:75,E10,76:76)-SUMIF(75:75,C10,76:76)+100</f>
        <v>100</v>
      </c>
      <c r="G10" s="525" t="s">
        <v>3141</v>
      </c>
      <c r="H10" s="520">
        <f>SUMIF(75:75,G10,76:76)-SUMIF(75:75,C10,76:76)+100</f>
        <v>100</v>
      </c>
      <c r="I10" s="525" t="s">
        <v>3141</v>
      </c>
      <c r="J10" s="520">
        <f>SUMIF(75:75,I10,76:76)-SUMIF(75:75,C10,76:76)+100</f>
        <v>100</v>
      </c>
      <c r="K10" s="524"/>
      <c r="L10" s="2118"/>
      <c r="M10" s="2115"/>
      <c r="N10" s="2115"/>
      <c r="O10" s="2119"/>
      <c r="P10" s="3502" t="s">
        <v>533</v>
      </c>
      <c r="Q10" s="3503"/>
      <c r="R10" s="1554" t="s">
        <v>8</v>
      </c>
      <c r="S10" s="1555">
        <f t="shared" si="0"/>
        <v>100</v>
      </c>
      <c r="T10" s="1554" t="s">
        <v>8</v>
      </c>
      <c r="U10" s="1555">
        <f t="shared" si="1"/>
        <v>100</v>
      </c>
      <c r="V10" s="1554" t="s">
        <v>8</v>
      </c>
      <c r="W10" s="1555">
        <f t="shared" si="2"/>
        <v>100</v>
      </c>
      <c r="X10" s="1556"/>
      <c r="Y10" s="3502" t="s">
        <v>533</v>
      </c>
      <c r="Z10" s="3503"/>
      <c r="AA10" s="1557">
        <f t="shared" ref="AA10:AA47" si="3">D10/F10</f>
        <v>1</v>
      </c>
      <c r="AB10" s="1557">
        <f t="shared" ref="AB10:AB47" si="4">D10/H10</f>
        <v>1</v>
      </c>
      <c r="AC10" s="1557">
        <f t="shared" ref="AC10:AC47" si="5">D10/J10</f>
        <v>1</v>
      </c>
    </row>
    <row r="11" spans="1:30" s="1216" customFormat="1" ht="21">
      <c r="A11" s="2867"/>
      <c r="B11" s="2874" t="s">
        <v>2752</v>
      </c>
      <c r="C11" s="2861" t="s">
        <v>923</v>
      </c>
      <c r="D11" s="254">
        <v>100</v>
      </c>
      <c r="E11" s="2861" t="s">
        <v>923</v>
      </c>
      <c r="F11" s="254">
        <f>SUMIF(77:77,E11,78:78)-SUMIF(77:77,C11,78:78)+100</f>
        <v>100</v>
      </c>
      <c r="G11" s="2861" t="s">
        <v>923</v>
      </c>
      <c r="H11" s="254">
        <f>SUMIF(77:77,G11,78:78)-SUMIF(77:77,C11,78:78)+100</f>
        <v>100</v>
      </c>
      <c r="I11" s="2861" t="s">
        <v>923</v>
      </c>
      <c r="J11" s="254">
        <f>SUMIF(77:77,I11,78:78)-SUMIF(77:77,C11,78:78)+100</f>
        <v>100</v>
      </c>
      <c r="K11" s="524"/>
      <c r="L11" s="2118"/>
      <c r="M11" s="2115"/>
      <c r="N11" s="2115"/>
      <c r="O11" s="2120"/>
      <c r="P11" s="3510" t="s">
        <v>535</v>
      </c>
      <c r="Q11" s="1147" t="str">
        <f t="shared" ref="Q11:Q17" si="6">B11</f>
        <v>用途</v>
      </c>
      <c r="R11" s="1554" t="s">
        <v>8</v>
      </c>
      <c r="S11" s="1555">
        <f t="shared" si="0"/>
        <v>100</v>
      </c>
      <c r="T11" s="1554" t="s">
        <v>8</v>
      </c>
      <c r="U11" s="1555">
        <f t="shared" si="1"/>
        <v>100</v>
      </c>
      <c r="V11" s="1554" t="s">
        <v>8</v>
      </c>
      <c r="W11" s="1555">
        <f t="shared" si="2"/>
        <v>100</v>
      </c>
      <c r="X11" s="1556"/>
      <c r="Y11" s="3467" t="s">
        <v>536</v>
      </c>
      <c r="Z11" s="1146" t="str">
        <f t="shared" ref="Z11:Z17" si="7">Q11</f>
        <v>用途</v>
      </c>
      <c r="AA11" s="1557">
        <f t="shared" si="3"/>
        <v>1</v>
      </c>
      <c r="AB11" s="1557">
        <f t="shared" si="4"/>
        <v>1</v>
      </c>
      <c r="AC11" s="1557">
        <f t="shared" si="5"/>
        <v>1</v>
      </c>
    </row>
    <row r="12" spans="1:30" s="1334" customFormat="1" ht="28.8">
      <c r="A12" s="2868"/>
      <c r="B12" s="2873" t="s">
        <v>2753</v>
      </c>
      <c r="C12" s="910">
        <f>项目基本情况!D19</f>
        <v>43.79</v>
      </c>
      <c r="D12" s="255">
        <v>100</v>
      </c>
      <c r="E12" s="529" t="s">
        <v>3142</v>
      </c>
      <c r="F12" s="255">
        <f>ROUND(100/'数据-取费表'!G16,0)</f>
        <v>105</v>
      </c>
      <c r="G12" s="530" t="s">
        <v>3142</v>
      </c>
      <c r="H12" s="255">
        <f>ROUND(100/'数据-取费表'!G16,0)</f>
        <v>105</v>
      </c>
      <c r="I12" s="530" t="s">
        <v>3142</v>
      </c>
      <c r="J12" s="255">
        <f>ROUND(100/'数据-取费表'!G16,0)</f>
        <v>105</v>
      </c>
      <c r="K12" s="531"/>
      <c r="L12" s="2121"/>
      <c r="M12" s="2115"/>
      <c r="N12" s="2115"/>
      <c r="O12" s="2122"/>
      <c r="P12" s="3510"/>
      <c r="Q12" s="1147" t="str">
        <f t="shared" si="6"/>
        <v>土地使用年限（年）</v>
      </c>
      <c r="R12" s="1554" t="s">
        <v>8</v>
      </c>
      <c r="S12" s="1555">
        <f t="shared" si="0"/>
        <v>105</v>
      </c>
      <c r="T12" s="1554" t="s">
        <v>8</v>
      </c>
      <c r="U12" s="1555">
        <f t="shared" si="1"/>
        <v>105</v>
      </c>
      <c r="V12" s="1554" t="s">
        <v>8</v>
      </c>
      <c r="W12" s="1555">
        <f t="shared" si="2"/>
        <v>105</v>
      </c>
      <c r="X12" s="1556"/>
      <c r="Y12" s="3467"/>
      <c r="Z12" s="1146" t="str">
        <f t="shared" si="7"/>
        <v>土地使用年限（年）</v>
      </c>
      <c r="AA12" s="1557">
        <f t="shared" si="3"/>
        <v>0.95238095238095233</v>
      </c>
      <c r="AB12" s="1557">
        <f t="shared" si="4"/>
        <v>0.95238095238095233</v>
      </c>
      <c r="AC12" s="1557">
        <f t="shared" si="5"/>
        <v>0.95238095238095233</v>
      </c>
    </row>
    <row r="13" spans="1:30" ht="21.6" thickBot="1">
      <c r="A13" s="2869"/>
      <c r="B13" s="2873" t="s">
        <v>2754</v>
      </c>
      <c r="C13" s="534">
        <f>'数据-汇总表'!I6</f>
        <v>5.5</v>
      </c>
      <c r="D13" s="255">
        <v>100</v>
      </c>
      <c r="E13" s="533">
        <v>1.8</v>
      </c>
      <c r="F13" s="255">
        <f>LOOKUP(E13,82:82,83:83)-LOOKUP(C13,82:82,83:83)+100</f>
        <v>106</v>
      </c>
      <c r="G13" s="534">
        <v>1.2</v>
      </c>
      <c r="H13" s="255">
        <f>LOOKUP(G13,82:82,83:83)-LOOKUP(C13,82:82,83:83)+100</f>
        <v>106</v>
      </c>
      <c r="I13" s="533">
        <v>1.5</v>
      </c>
      <c r="J13" s="255">
        <f>LOOKUP(I13,82:82,83:83)-LOOKUP(C13,82:82,83:83)+100</f>
        <v>106</v>
      </c>
      <c r="K13" s="535">
        <v>2</v>
      </c>
      <c r="L13" s="2123"/>
      <c r="M13" s="2115"/>
      <c r="N13" s="2115"/>
      <c r="O13" s="2124"/>
      <c r="P13" s="3510"/>
      <c r="Q13" s="1147" t="str">
        <f t="shared" si="6"/>
        <v>容积率</v>
      </c>
      <c r="R13" s="1554" t="s">
        <v>8</v>
      </c>
      <c r="S13" s="1555">
        <f t="shared" si="0"/>
        <v>106</v>
      </c>
      <c r="T13" s="1554" t="s">
        <v>8</v>
      </c>
      <c r="U13" s="1555">
        <f t="shared" si="1"/>
        <v>106</v>
      </c>
      <c r="V13" s="1554" t="s">
        <v>8</v>
      </c>
      <c r="W13" s="1555">
        <f t="shared" si="2"/>
        <v>106</v>
      </c>
      <c r="X13" s="1556"/>
      <c r="Y13" s="3467"/>
      <c r="Z13" s="1146" t="str">
        <f t="shared" si="7"/>
        <v>容积率</v>
      </c>
      <c r="AA13" s="1557">
        <f t="shared" si="3"/>
        <v>0.94339622641509435</v>
      </c>
      <c r="AB13" s="1557">
        <f t="shared" si="4"/>
        <v>0.94339622641509435</v>
      </c>
      <c r="AC13" s="1557">
        <f t="shared" si="5"/>
        <v>0.94339622641509435</v>
      </c>
    </row>
    <row r="14" spans="1:30" s="1216" customFormat="1" ht="21" hidden="1">
      <c r="A14" s="2866"/>
      <c r="B14" s="2875" t="s">
        <v>2755</v>
      </c>
      <c r="C14" s="2862"/>
      <c r="D14" s="538">
        <v>100</v>
      </c>
      <c r="E14" s="1370"/>
      <c r="F14" s="255">
        <f>SUMIF(84:84,E14,85:85)-SUMIF(84:84,C14,85:85)+100</f>
        <v>100</v>
      </c>
      <c r="G14" s="530"/>
      <c r="H14" s="255">
        <f>SUMIF(84:84,G14,85:85)-SUMIF(84:84,C14,85:85)+100</f>
        <v>100</v>
      </c>
      <c r="I14" s="529"/>
      <c r="J14" s="255">
        <f>SUMIF(84:84,I14,85:85)-SUMIF(84:84,C14,85:85)+100</f>
        <v>100</v>
      </c>
      <c r="K14" s="531"/>
      <c r="L14" s="2118"/>
      <c r="M14" s="2115"/>
      <c r="N14" s="2115"/>
      <c r="O14" s="2120"/>
      <c r="P14" s="3510"/>
      <c r="Q14" s="1147" t="str">
        <f t="shared" si="6"/>
        <v>配建</v>
      </c>
      <c r="R14" s="1554" t="s">
        <v>8</v>
      </c>
      <c r="S14" s="1555">
        <f t="shared" si="0"/>
        <v>100</v>
      </c>
      <c r="T14" s="1554" t="s">
        <v>8</v>
      </c>
      <c r="U14" s="1555">
        <f t="shared" si="1"/>
        <v>100</v>
      </c>
      <c r="V14" s="1554" t="s">
        <v>8</v>
      </c>
      <c r="W14" s="1555">
        <f t="shared" si="2"/>
        <v>100</v>
      </c>
      <c r="X14" s="1556"/>
      <c r="Y14" s="3467"/>
      <c r="Z14" s="1146" t="str">
        <f t="shared" si="7"/>
        <v>配建</v>
      </c>
      <c r="AA14" s="1557">
        <f>D14/F14</f>
        <v>1</v>
      </c>
      <c r="AB14" s="1557">
        <f>D14/H14</f>
        <v>1</v>
      </c>
      <c r="AC14" s="1557">
        <f>D14/J14</f>
        <v>1</v>
      </c>
    </row>
    <row r="15" spans="1:30" ht="21" hidden="1">
      <c r="A15" s="2870"/>
      <c r="B15" s="2876">
        <v>111</v>
      </c>
      <c r="C15" s="912"/>
      <c r="D15" s="540">
        <v>100</v>
      </c>
      <c r="E15" s="541"/>
      <c r="F15" s="255">
        <f>SUMIF(86:86,E15,87:87)-SUMIF(86:86,C15,87:87)+100</f>
        <v>100</v>
      </c>
      <c r="G15" s="542"/>
      <c r="H15" s="540">
        <f>SUMIF(86:86,G15,87:87)-SUMIF(86:86,C15,87:87)+100</f>
        <v>100</v>
      </c>
      <c r="I15" s="542"/>
      <c r="J15" s="540">
        <f>SUMIF(86:86,I15,87:87)-SUMIF(86:86,C15,87:87)+100</f>
        <v>100</v>
      </c>
      <c r="K15" s="531"/>
      <c r="L15" s="2125"/>
      <c r="M15" s="2115"/>
      <c r="N15" s="2115"/>
      <c r="O15" s="2124"/>
      <c r="P15" s="3510"/>
      <c r="Q15" s="1147">
        <f t="shared" si="6"/>
        <v>111</v>
      </c>
      <c r="R15" s="1554" t="s">
        <v>8</v>
      </c>
      <c r="S15" s="1555">
        <f t="shared" si="0"/>
        <v>100</v>
      </c>
      <c r="T15" s="1554" t="s">
        <v>8</v>
      </c>
      <c r="U15" s="1555">
        <f t="shared" si="1"/>
        <v>100</v>
      </c>
      <c r="V15" s="1554" t="s">
        <v>8</v>
      </c>
      <c r="W15" s="1555">
        <f t="shared" si="2"/>
        <v>100</v>
      </c>
      <c r="X15" s="1556"/>
      <c r="Y15" s="3467"/>
      <c r="Z15" s="1146">
        <f t="shared" si="7"/>
        <v>111</v>
      </c>
      <c r="AA15" s="1557">
        <f>D15/F15</f>
        <v>1</v>
      </c>
      <c r="AB15" s="1557">
        <f>D15/H15</f>
        <v>1</v>
      </c>
      <c r="AC15" s="1557">
        <f>D15/J15</f>
        <v>1</v>
      </c>
    </row>
    <row r="16" spans="1:30" ht="21.6" hidden="1" thickBot="1">
      <c r="A16" s="2871"/>
      <c r="B16" s="2877">
        <v>111</v>
      </c>
      <c r="C16" s="915"/>
      <c r="D16" s="546">
        <v>100</v>
      </c>
      <c r="E16" s="541"/>
      <c r="F16" s="546">
        <f>SUMIF(88:88,E16,89:89)-SUMIF(88:88,C16,89:89)+100</f>
        <v>100</v>
      </c>
      <c r="G16" s="542"/>
      <c r="H16" s="546">
        <f>SUMIF(88:88,G16,89:89)-SUMIF(88:88,C16,89:89)+100</f>
        <v>100</v>
      </c>
      <c r="I16" s="542"/>
      <c r="J16" s="546">
        <f>SUMIF(88:88,I16,89:89)-SUMIF(88:88,C16,89:89)+100</f>
        <v>100</v>
      </c>
      <c r="K16" s="531"/>
      <c r="L16" s="2125"/>
      <c r="M16" s="2115"/>
      <c r="N16" s="2115"/>
      <c r="O16" s="2124"/>
      <c r="P16" s="3510"/>
      <c r="Q16" s="1147">
        <f t="shared" si="6"/>
        <v>111</v>
      </c>
      <c r="R16" s="1554" t="s">
        <v>8</v>
      </c>
      <c r="S16" s="1555">
        <f t="shared" si="0"/>
        <v>100</v>
      </c>
      <c r="T16" s="1554" t="s">
        <v>8</v>
      </c>
      <c r="U16" s="1555">
        <f t="shared" si="1"/>
        <v>100</v>
      </c>
      <c r="V16" s="1554" t="s">
        <v>8</v>
      </c>
      <c r="W16" s="1555">
        <f t="shared" si="2"/>
        <v>100</v>
      </c>
      <c r="X16" s="1556"/>
      <c r="Y16" s="3467"/>
      <c r="Z16" s="1146">
        <f t="shared" si="7"/>
        <v>111</v>
      </c>
      <c r="AA16" s="1557">
        <f>D16/F16</f>
        <v>1</v>
      </c>
      <c r="AB16" s="1557">
        <f>D16/H16</f>
        <v>1</v>
      </c>
      <c r="AC16" s="1557">
        <f>D16/J16</f>
        <v>1</v>
      </c>
    </row>
    <row r="17" spans="1:29" ht="21">
      <c r="A17" s="2863" t="s">
        <v>2750</v>
      </c>
      <c r="B17" s="578" t="s">
        <v>295</v>
      </c>
      <c r="C17" s="548" t="str">
        <f>估价对象房地状况!C15</f>
        <v>较好</v>
      </c>
      <c r="D17" s="551">
        <v>100</v>
      </c>
      <c r="E17" s="552"/>
      <c r="F17" s="549">
        <f>SUMIF(90:90,E18,91:91)-SUMIF(90:90,C18,91:91)+100</f>
        <v>100</v>
      </c>
      <c r="G17" s="550"/>
      <c r="H17" s="549">
        <f>SUMIF(90:90,G18,91:91)-SUMIF(90:90,C18,91:91)+100</f>
        <v>100</v>
      </c>
      <c r="I17" s="552"/>
      <c r="J17" s="549">
        <f>SUMIF(90:90,I18,91:91)-SUMIF(90:90,C18,91:91)+100</f>
        <v>100</v>
      </c>
      <c r="K17" s="535">
        <v>2</v>
      </c>
      <c r="L17" s="2125"/>
      <c r="M17" s="2115"/>
      <c r="N17" s="2115"/>
      <c r="O17" s="2124"/>
      <c r="P17" s="3512" t="s">
        <v>540</v>
      </c>
      <c r="Q17" s="1558" t="str">
        <f t="shared" si="6"/>
        <v>居住社区成熟度</v>
      </c>
      <c r="R17" s="1559" t="s">
        <v>8</v>
      </c>
      <c r="S17" s="1560">
        <f t="shared" si="0"/>
        <v>100</v>
      </c>
      <c r="T17" s="1559" t="s">
        <v>8</v>
      </c>
      <c r="U17" s="1560">
        <f t="shared" si="1"/>
        <v>100</v>
      </c>
      <c r="V17" s="1559" t="s">
        <v>8</v>
      </c>
      <c r="W17" s="1560">
        <f t="shared" si="2"/>
        <v>100</v>
      </c>
      <c r="X17" s="1553"/>
      <c r="Y17" s="3512" t="s">
        <v>540</v>
      </c>
      <c r="Z17" s="1561" t="str">
        <f t="shared" si="7"/>
        <v>居住社区成熟度</v>
      </c>
      <c r="AA17" s="1562">
        <f t="shared" si="3"/>
        <v>1</v>
      </c>
      <c r="AB17" s="1562">
        <f t="shared" si="4"/>
        <v>1</v>
      </c>
      <c r="AC17" s="1562">
        <f t="shared" si="5"/>
        <v>1</v>
      </c>
    </row>
    <row r="18" spans="1:29" ht="21">
      <c r="A18" s="532"/>
      <c r="B18" s="553"/>
      <c r="C18" s="554" t="s">
        <v>3134</v>
      </c>
      <c r="D18" s="557"/>
      <c r="E18" s="554" t="s">
        <v>3134</v>
      </c>
      <c r="F18" s="555"/>
      <c r="G18" s="554" t="s">
        <v>3134</v>
      </c>
      <c r="H18" s="559"/>
      <c r="I18" s="554" t="s">
        <v>3134</v>
      </c>
      <c r="J18" s="555"/>
      <c r="K18" s="531"/>
      <c r="L18" s="2125"/>
      <c r="M18" s="2115"/>
      <c r="N18" s="2115"/>
      <c r="O18" s="2124"/>
      <c r="P18" s="3513"/>
      <c r="Q18" s="1558"/>
      <c r="R18" s="1559"/>
      <c r="S18" s="1560"/>
      <c r="T18" s="1559"/>
      <c r="U18" s="1560"/>
      <c r="V18" s="1559"/>
      <c r="W18" s="1560"/>
      <c r="X18" s="1553"/>
      <c r="Y18" s="3513"/>
      <c r="Z18" s="1561"/>
      <c r="AA18" s="1562">
        <v>1</v>
      </c>
      <c r="AB18" s="1562">
        <v>1</v>
      </c>
      <c r="AC18" s="1562">
        <v>1</v>
      </c>
    </row>
    <row r="19" spans="1:29" ht="21">
      <c r="A19" s="532"/>
      <c r="B19" s="560" t="s">
        <v>541</v>
      </c>
      <c r="C19" s="561" t="str">
        <f>估价对象房地状况!C16</f>
        <v>较好</v>
      </c>
      <c r="D19" s="563">
        <v>100</v>
      </c>
      <c r="E19" s="564"/>
      <c r="F19" s="559">
        <f>SUMIF(92:92,E20,93:93)-SUMIF(92:92,C20,93:93)+100</f>
        <v>100</v>
      </c>
      <c r="G19" s="562"/>
      <c r="H19" s="565">
        <f>SUMIF(92:92,G20,93:93)-SUMIF(92:92,C20,93:93)+100</f>
        <v>100</v>
      </c>
      <c r="I19" s="564"/>
      <c r="J19" s="565">
        <f>SUMIF(92:92,I20,93:93)-SUMIF(92:92,C20,93:93)+100</f>
        <v>100</v>
      </c>
      <c r="K19" s="535">
        <v>2</v>
      </c>
      <c r="L19" s="2125"/>
      <c r="M19" s="2115"/>
      <c r="N19" s="2115"/>
      <c r="O19" s="2124"/>
      <c r="P19" s="3513"/>
      <c r="Q19" s="1558" t="str">
        <f>B19</f>
        <v>商业繁华度</v>
      </c>
      <c r="R19" s="1559" t="s">
        <v>8</v>
      </c>
      <c r="S19" s="1560">
        <f>F19</f>
        <v>100</v>
      </c>
      <c r="T19" s="1559" t="s">
        <v>8</v>
      </c>
      <c r="U19" s="1560">
        <f>H19</f>
        <v>100</v>
      </c>
      <c r="V19" s="1559" t="s">
        <v>8</v>
      </c>
      <c r="W19" s="1560">
        <f>J19</f>
        <v>100</v>
      </c>
      <c r="X19" s="1553"/>
      <c r="Y19" s="3513"/>
      <c r="Z19" s="1561" t="str">
        <f>Q19</f>
        <v>商业繁华度</v>
      </c>
      <c r="AA19" s="1562">
        <f t="shared" si="3"/>
        <v>1</v>
      </c>
      <c r="AB19" s="1562">
        <f t="shared" si="4"/>
        <v>1</v>
      </c>
      <c r="AC19" s="1562">
        <f t="shared" si="5"/>
        <v>1</v>
      </c>
    </row>
    <row r="20" spans="1:29" ht="21">
      <c r="A20" s="532"/>
      <c r="B20" s="566"/>
      <c r="C20" s="567" t="s">
        <v>3134</v>
      </c>
      <c r="D20" s="563"/>
      <c r="E20" s="567" t="s">
        <v>3134</v>
      </c>
      <c r="F20" s="559"/>
      <c r="G20" s="567" t="s">
        <v>3134</v>
      </c>
      <c r="H20" s="555"/>
      <c r="I20" s="567" t="s">
        <v>3134</v>
      </c>
      <c r="J20" s="555"/>
      <c r="K20" s="531"/>
      <c r="L20" s="2125"/>
      <c r="M20" s="2115"/>
      <c r="N20" s="2115"/>
      <c r="O20" s="2124"/>
      <c r="P20" s="3513"/>
      <c r="Q20" s="1558"/>
      <c r="R20" s="1559"/>
      <c r="S20" s="1560"/>
      <c r="T20" s="1559"/>
      <c r="U20" s="1560"/>
      <c r="V20" s="1559"/>
      <c r="W20" s="1560"/>
      <c r="X20" s="1553"/>
      <c r="Y20" s="3513"/>
      <c r="Z20" s="1561"/>
      <c r="AA20" s="1562">
        <v>1</v>
      </c>
      <c r="AB20" s="1562">
        <v>1</v>
      </c>
      <c r="AC20" s="1562">
        <v>1</v>
      </c>
    </row>
    <row r="21" spans="1:29" ht="2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5"/>
      <c r="M21" s="2115"/>
      <c r="N21" s="2115"/>
      <c r="O21" s="2124"/>
      <c r="P21" s="3513"/>
      <c r="Q21" s="1558" t="str">
        <f>B21</f>
        <v>办公集聚程度</v>
      </c>
      <c r="R21" s="1559" t="s">
        <v>8</v>
      </c>
      <c r="S21" s="1560">
        <f>F21</f>
        <v>100</v>
      </c>
      <c r="T21" s="1559" t="s">
        <v>8</v>
      </c>
      <c r="U21" s="1560">
        <f>H21</f>
        <v>100</v>
      </c>
      <c r="V21" s="1559" t="s">
        <v>8</v>
      </c>
      <c r="W21" s="1560">
        <f>J21</f>
        <v>100</v>
      </c>
      <c r="X21" s="1553"/>
      <c r="Y21" s="3513"/>
      <c r="Z21" s="1561" t="str">
        <f>Q21</f>
        <v>办公集聚程度</v>
      </c>
      <c r="AA21" s="1562">
        <f t="shared" si="3"/>
        <v>1</v>
      </c>
      <c r="AB21" s="1562">
        <f t="shared" si="4"/>
        <v>1</v>
      </c>
      <c r="AC21" s="1562">
        <f t="shared" si="5"/>
        <v>1</v>
      </c>
    </row>
    <row r="22" spans="1:29" ht="21">
      <c r="A22" s="532"/>
      <c r="B22" s="566"/>
      <c r="C22" s="554"/>
      <c r="D22" s="557"/>
      <c r="E22" s="558"/>
      <c r="F22" s="555"/>
      <c r="G22" s="556"/>
      <c r="H22" s="555"/>
      <c r="I22" s="558"/>
      <c r="J22" s="555"/>
      <c r="K22" s="531"/>
      <c r="L22" s="2125"/>
      <c r="M22" s="2115"/>
      <c r="N22" s="2115"/>
      <c r="O22" s="2124"/>
      <c r="P22" s="3513"/>
      <c r="Q22" s="1558"/>
      <c r="R22" s="1559"/>
      <c r="S22" s="1560"/>
      <c r="T22" s="1559"/>
      <c r="U22" s="1560"/>
      <c r="V22" s="1559"/>
      <c r="W22" s="1560"/>
      <c r="X22" s="1553"/>
      <c r="Y22" s="3513"/>
      <c r="Z22" s="1561"/>
      <c r="AA22" s="1562">
        <v>1</v>
      </c>
      <c r="AB22" s="1562">
        <v>1</v>
      </c>
      <c r="AC22" s="1562">
        <v>1</v>
      </c>
    </row>
    <row r="23" spans="1:29" ht="21">
      <c r="A23" s="532"/>
      <c r="B23" s="560" t="s">
        <v>543</v>
      </c>
      <c r="C23" s="573" t="str">
        <f>估价对象房地状况!C18</f>
        <v>较好</v>
      </c>
      <c r="D23" s="563">
        <v>100</v>
      </c>
      <c r="E23" s="564"/>
      <c r="F23" s="565">
        <f>SUMIF(96:96,E24,97:97)-SUMIF(96:96,C24,97:97)+100</f>
        <v>100</v>
      </c>
      <c r="G23" s="562"/>
      <c r="H23" s="559">
        <f>SUMIF(96:96,G24,97:97)-SUMIF(96:96,C24,97:97)+100</f>
        <v>100</v>
      </c>
      <c r="I23" s="564"/>
      <c r="J23" s="559">
        <f>SUMIF(96:96,I24,97:97)-SUMIF(96:96,C24,97:97)+100</f>
        <v>100</v>
      </c>
      <c r="K23" s="535">
        <v>2</v>
      </c>
      <c r="L23" s="2125"/>
      <c r="M23" s="2115"/>
      <c r="N23" s="2115"/>
      <c r="O23" s="2124"/>
      <c r="P23" s="3513"/>
      <c r="Q23" s="1558" t="str">
        <f>B23</f>
        <v>交通便捷度</v>
      </c>
      <c r="R23" s="1559" t="s">
        <v>8</v>
      </c>
      <c r="S23" s="1560">
        <f>F23</f>
        <v>100</v>
      </c>
      <c r="T23" s="1559" t="s">
        <v>8</v>
      </c>
      <c r="U23" s="1560">
        <f>H23</f>
        <v>100</v>
      </c>
      <c r="V23" s="1559" t="s">
        <v>8</v>
      </c>
      <c r="W23" s="1560">
        <f>J23</f>
        <v>100</v>
      </c>
      <c r="X23" s="1553"/>
      <c r="Y23" s="3513"/>
      <c r="Z23" s="1561" t="str">
        <f>Q23</f>
        <v>交通便捷度</v>
      </c>
      <c r="AA23" s="1562">
        <f t="shared" si="3"/>
        <v>1</v>
      </c>
      <c r="AB23" s="1562">
        <f t="shared" si="4"/>
        <v>1</v>
      </c>
      <c r="AC23" s="1562">
        <f t="shared" si="5"/>
        <v>1</v>
      </c>
    </row>
    <row r="24" spans="1:29" ht="21">
      <c r="A24" s="532"/>
      <c r="B24" s="578"/>
      <c r="C24" s="554" t="s">
        <v>3134</v>
      </c>
      <c r="D24" s="557"/>
      <c r="E24" s="554" t="s">
        <v>3134</v>
      </c>
      <c r="F24" s="555"/>
      <c r="G24" s="554" t="s">
        <v>3134</v>
      </c>
      <c r="H24" s="555"/>
      <c r="I24" s="554" t="s">
        <v>3134</v>
      </c>
      <c r="J24" s="555"/>
      <c r="K24" s="531"/>
      <c r="L24" s="2125"/>
      <c r="M24" s="2115"/>
      <c r="N24" s="2115"/>
      <c r="O24" s="2124"/>
      <c r="P24" s="3513"/>
      <c r="Q24" s="1558"/>
      <c r="R24" s="1559"/>
      <c r="S24" s="1560"/>
      <c r="T24" s="1559"/>
      <c r="U24" s="1560"/>
      <c r="V24" s="1559"/>
      <c r="W24" s="1560"/>
      <c r="X24" s="1553"/>
      <c r="Y24" s="3513"/>
      <c r="Z24" s="1561"/>
      <c r="AA24" s="1562">
        <v>1</v>
      </c>
      <c r="AB24" s="1562">
        <v>1</v>
      </c>
      <c r="AC24" s="1562">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5"/>
      <c r="M25" s="2115"/>
      <c r="N25" s="2115"/>
      <c r="O25" s="2124"/>
      <c r="P25" s="3513"/>
      <c r="Q25" s="1558" t="str">
        <f t="shared" ref="Q25:Q39" si="8">B25</f>
        <v>区域土地利用方向</v>
      </c>
      <c r="R25" s="1559" t="s">
        <v>8</v>
      </c>
      <c r="S25" s="1560">
        <f>F25</f>
        <v>100</v>
      </c>
      <c r="T25" s="1559" t="s">
        <v>8</v>
      </c>
      <c r="U25" s="1560">
        <f>H25</f>
        <v>100</v>
      </c>
      <c r="V25" s="1559" t="s">
        <v>8</v>
      </c>
      <c r="W25" s="1560">
        <f>J25</f>
        <v>100</v>
      </c>
      <c r="X25" s="1553"/>
      <c r="Y25" s="3513"/>
      <c r="Z25" s="1561" t="str">
        <f>Q25</f>
        <v>区域土地利用方向</v>
      </c>
      <c r="AA25" s="1562">
        <f t="shared" si="3"/>
        <v>1</v>
      </c>
      <c r="AB25" s="1562">
        <f t="shared" si="4"/>
        <v>1</v>
      </c>
      <c r="AC25" s="1562">
        <f t="shared" si="5"/>
        <v>1</v>
      </c>
    </row>
    <row r="26" spans="1:29" ht="21">
      <c r="A26" s="515"/>
      <c r="B26" s="1007"/>
      <c r="C26" s="554" t="s">
        <v>3134</v>
      </c>
      <c r="D26" s="557"/>
      <c r="E26" s="554" t="s">
        <v>3134</v>
      </c>
      <c r="F26" s="555"/>
      <c r="G26" s="554" t="s">
        <v>3134</v>
      </c>
      <c r="H26" s="555"/>
      <c r="I26" s="554" t="s">
        <v>3134</v>
      </c>
      <c r="J26" s="555"/>
      <c r="K26" s="531"/>
      <c r="L26" s="2125"/>
      <c r="M26" s="2115"/>
      <c r="N26" s="2115"/>
      <c r="O26" s="2124"/>
      <c r="P26" s="3513"/>
      <c r="Q26" s="1558"/>
      <c r="R26" s="1559"/>
      <c r="S26" s="1560"/>
      <c r="T26" s="1559"/>
      <c r="U26" s="1560"/>
      <c r="V26" s="1559"/>
      <c r="W26" s="1560"/>
      <c r="X26" s="1553"/>
      <c r="Y26" s="3513"/>
      <c r="Z26" s="1561"/>
      <c r="AA26" s="1562"/>
      <c r="AB26" s="1562"/>
      <c r="AC26" s="1562"/>
    </row>
    <row r="27" spans="1:29" ht="28.8">
      <c r="A27" s="515"/>
      <c r="B27" s="578" t="s">
        <v>545</v>
      </c>
      <c r="C27" s="561" t="str">
        <f>估价对象房地状况!C20</f>
        <v>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5"/>
      <c r="M27" s="2115"/>
      <c r="N27" s="2115"/>
      <c r="O27" s="2124"/>
      <c r="P27" s="3513"/>
      <c r="Q27" s="1558" t="str">
        <f t="shared" si="8"/>
        <v>自然及人文环境状况</v>
      </c>
      <c r="R27" s="1559" t="s">
        <v>8</v>
      </c>
      <c r="S27" s="1560">
        <f>F27</f>
        <v>100</v>
      </c>
      <c r="T27" s="1559" t="s">
        <v>8</v>
      </c>
      <c r="U27" s="1560">
        <f>H27</f>
        <v>100</v>
      </c>
      <c r="V27" s="1559" t="s">
        <v>8</v>
      </c>
      <c r="W27" s="1560">
        <f>J27</f>
        <v>100</v>
      </c>
      <c r="X27" s="1553"/>
      <c r="Y27" s="3513"/>
      <c r="Z27" s="1561" t="str">
        <f>Q27</f>
        <v>自然及人文环境状况</v>
      </c>
      <c r="AA27" s="1562">
        <f t="shared" si="3"/>
        <v>1</v>
      </c>
      <c r="AB27" s="1562">
        <f t="shared" si="4"/>
        <v>1</v>
      </c>
      <c r="AC27" s="1562">
        <f t="shared" si="5"/>
        <v>1</v>
      </c>
    </row>
    <row r="28" spans="1:29" ht="21">
      <c r="A28" s="515"/>
      <c r="B28" s="566"/>
      <c r="C28" s="554" t="s">
        <v>3329</v>
      </c>
      <c r="D28" s="557"/>
      <c r="E28" s="554" t="s">
        <v>3329</v>
      </c>
      <c r="F28" s="555"/>
      <c r="G28" s="554" t="s">
        <v>3329</v>
      </c>
      <c r="H28" s="555"/>
      <c r="I28" s="554" t="s">
        <v>3329</v>
      </c>
      <c r="J28" s="555"/>
      <c r="K28" s="531"/>
      <c r="L28" s="2125"/>
      <c r="M28" s="2115"/>
      <c r="N28" s="2115"/>
      <c r="O28" s="2124"/>
      <c r="P28" s="3513"/>
      <c r="Q28" s="1558"/>
      <c r="R28" s="1559"/>
      <c r="S28" s="1560"/>
      <c r="T28" s="1559"/>
      <c r="U28" s="1560"/>
      <c r="V28" s="1559"/>
      <c r="W28" s="1560"/>
      <c r="X28" s="1553"/>
      <c r="Y28" s="3513"/>
      <c r="Z28" s="1561"/>
      <c r="AA28" s="1562">
        <v>1</v>
      </c>
      <c r="AB28" s="1562">
        <v>1</v>
      </c>
      <c r="AC28" s="1562">
        <v>1</v>
      </c>
    </row>
    <row r="29" spans="1:29" s="1216" customFormat="1" ht="21">
      <c r="A29" s="577"/>
      <c r="B29" s="2553" t="s">
        <v>2545</v>
      </c>
      <c r="C29" s="573" t="str">
        <f>估价对象房地状况!C21</f>
        <v>一般</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18"/>
      <c r="M29" s="2115"/>
      <c r="N29" s="2115"/>
      <c r="O29" s="2120"/>
      <c r="P29" s="3513"/>
      <c r="Q29" s="1147" t="str">
        <f t="shared" si="8"/>
        <v>公共配套设施</v>
      </c>
      <c r="R29" s="1554" t="s">
        <v>8</v>
      </c>
      <c r="S29" s="1555">
        <f>F29</f>
        <v>100</v>
      </c>
      <c r="T29" s="1554" t="s">
        <v>8</v>
      </c>
      <c r="U29" s="1555">
        <f>H29</f>
        <v>100</v>
      </c>
      <c r="V29" s="1554" t="s">
        <v>8</v>
      </c>
      <c r="W29" s="1555">
        <f>J29</f>
        <v>100</v>
      </c>
      <c r="X29" s="1556"/>
      <c r="Y29" s="3513"/>
      <c r="Z29" s="1146" t="str">
        <f>Q29</f>
        <v>公共配套设施</v>
      </c>
      <c r="AA29" s="1562">
        <f>D29/F29</f>
        <v>1</v>
      </c>
      <c r="AB29" s="1562">
        <f>D29/H29</f>
        <v>1</v>
      </c>
      <c r="AC29" s="1562">
        <f>D29/J29</f>
        <v>1</v>
      </c>
    </row>
    <row r="30" spans="1:29" s="1216" customFormat="1" ht="21">
      <c r="A30" s="577"/>
      <c r="B30" s="566"/>
      <c r="C30" s="579" t="s">
        <v>3329</v>
      </c>
      <c r="D30" s="557"/>
      <c r="E30" s="579" t="s">
        <v>3329</v>
      </c>
      <c r="F30" s="555"/>
      <c r="G30" s="579" t="s">
        <v>3329</v>
      </c>
      <c r="H30" s="555"/>
      <c r="I30" s="579" t="s">
        <v>3329</v>
      </c>
      <c r="J30" s="555"/>
      <c r="K30" s="531"/>
      <c r="L30" s="2118"/>
      <c r="M30" s="2115"/>
      <c r="N30" s="2115"/>
      <c r="O30" s="2120"/>
      <c r="P30" s="3513"/>
      <c r="Q30" s="1147"/>
      <c r="R30" s="1554"/>
      <c r="S30" s="1555"/>
      <c r="T30" s="1554"/>
      <c r="U30" s="1555"/>
      <c r="V30" s="1554"/>
      <c r="W30" s="1555"/>
      <c r="X30" s="1556"/>
      <c r="Y30" s="3513"/>
      <c r="Z30" s="1146"/>
      <c r="AA30" s="1562">
        <v>1</v>
      </c>
      <c r="AB30" s="1562">
        <v>1</v>
      </c>
      <c r="AC30" s="1562">
        <v>1</v>
      </c>
    </row>
    <row r="31" spans="1:29" s="1216" customFormat="1" ht="21">
      <c r="A31" s="577"/>
      <c r="B31" s="2553" t="s">
        <v>2546</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18"/>
      <c r="M31" s="2115"/>
      <c r="N31" s="2115"/>
      <c r="O31" s="2120"/>
      <c r="P31" s="3513"/>
      <c r="Q31" s="2540" t="str">
        <f t="shared" ref="Q31" si="9">B31</f>
        <v>基础设施水平</v>
      </c>
      <c r="R31" s="1554" t="s">
        <v>8</v>
      </c>
      <c r="S31" s="1555">
        <f>F31</f>
        <v>100</v>
      </c>
      <c r="T31" s="1554" t="s">
        <v>8</v>
      </c>
      <c r="U31" s="1555">
        <f>H31</f>
        <v>100</v>
      </c>
      <c r="V31" s="1554" t="s">
        <v>8</v>
      </c>
      <c r="W31" s="1555">
        <f>J31</f>
        <v>100</v>
      </c>
      <c r="X31" s="1556"/>
      <c r="Y31" s="3513"/>
      <c r="Z31" s="2537" t="str">
        <f>Q31</f>
        <v>基础设施水平</v>
      </c>
      <c r="AA31" s="1562">
        <f>D31/F31</f>
        <v>1</v>
      </c>
      <c r="AB31" s="1562">
        <f>D31/H31</f>
        <v>1</v>
      </c>
      <c r="AC31" s="1562">
        <f>D31/J31</f>
        <v>1</v>
      </c>
    </row>
    <row r="32" spans="1:29" s="1216" customFormat="1" ht="21">
      <c r="A32" s="577"/>
      <c r="B32" s="566"/>
      <c r="C32" s="579" t="s">
        <v>3136</v>
      </c>
      <c r="D32" s="557"/>
      <c r="E32" s="579" t="s">
        <v>3136</v>
      </c>
      <c r="F32" s="555"/>
      <c r="G32" s="579" t="s">
        <v>3136</v>
      </c>
      <c r="H32" s="555"/>
      <c r="I32" s="579" t="s">
        <v>3136</v>
      </c>
      <c r="J32" s="555"/>
      <c r="K32" s="531"/>
      <c r="L32" s="2118"/>
      <c r="M32" s="2115"/>
      <c r="N32" s="2115"/>
      <c r="O32" s="2120"/>
      <c r="P32" s="3513"/>
      <c r="Q32" s="2540"/>
      <c r="R32" s="1554"/>
      <c r="S32" s="1555"/>
      <c r="T32" s="1554"/>
      <c r="U32" s="1555"/>
      <c r="V32" s="1554"/>
      <c r="W32" s="1555"/>
      <c r="X32" s="1556"/>
      <c r="Y32" s="3513"/>
      <c r="Z32" s="2537"/>
      <c r="AA32" s="1562">
        <v>1</v>
      </c>
      <c r="AB32" s="1562">
        <v>1</v>
      </c>
      <c r="AC32" s="1562">
        <v>1</v>
      </c>
    </row>
    <row r="33" spans="1:29" ht="2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5"/>
      <c r="M33" s="2115"/>
      <c r="N33" s="2115"/>
      <c r="O33" s="2124"/>
      <c r="P33" s="3513"/>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513"/>
      <c r="Z33" s="1561" t="str">
        <f t="shared" ref="Z33:Z47" si="13">Q33</f>
        <v>临街状况</v>
      </c>
      <c r="AA33" s="1562">
        <f t="shared" si="3"/>
        <v>1</v>
      </c>
      <c r="AB33" s="1562">
        <f t="shared" si="4"/>
        <v>1</v>
      </c>
      <c r="AC33" s="1562">
        <f t="shared" si="5"/>
        <v>1</v>
      </c>
    </row>
    <row r="34" spans="1:29" ht="28.8">
      <c r="A34" s="532"/>
      <c r="B34" s="578" t="s">
        <v>548</v>
      </c>
      <c r="C34" s="3190" t="s">
        <v>3143</v>
      </c>
      <c r="D34" s="563">
        <v>100</v>
      </c>
      <c r="E34" s="3190" t="s">
        <v>3143</v>
      </c>
      <c r="F34" s="559">
        <f>SUMIF(108:108,E35,109:109)-SUMIF(108:108,C35,109:109)+100</f>
        <v>100</v>
      </c>
      <c r="G34" s="3190" t="s">
        <v>3144</v>
      </c>
      <c r="H34" s="559">
        <f>SUMIF(108:108,G35,109:109)-SUMIF(108:108,C35,109:109)+100</f>
        <v>100</v>
      </c>
      <c r="I34" s="3190" t="s">
        <v>3143</v>
      </c>
      <c r="J34" s="559">
        <f>SUMIF(108:108,I35,109:109)-SUMIF(108:108,C35,109:109)+100</f>
        <v>100</v>
      </c>
      <c r="K34" s="535">
        <v>2</v>
      </c>
      <c r="L34" s="2125"/>
      <c r="M34" s="2115"/>
      <c r="N34" s="2115"/>
      <c r="O34" s="2124"/>
      <c r="P34" s="3513"/>
      <c r="Q34" s="1558" t="str">
        <f t="shared" si="8"/>
        <v>毗邻道路的类型与等级</v>
      </c>
      <c r="R34" s="1559" t="s">
        <v>8</v>
      </c>
      <c r="S34" s="1560">
        <f t="shared" si="10"/>
        <v>100</v>
      </c>
      <c r="T34" s="1559" t="s">
        <v>8</v>
      </c>
      <c r="U34" s="1560">
        <f t="shared" si="11"/>
        <v>100</v>
      </c>
      <c r="V34" s="1559" t="s">
        <v>8</v>
      </c>
      <c r="W34" s="1560">
        <f t="shared" si="12"/>
        <v>100</v>
      </c>
      <c r="X34" s="1553"/>
      <c r="Y34" s="3513"/>
      <c r="Z34" s="1561" t="str">
        <f t="shared" si="13"/>
        <v>毗邻道路的类型与等级</v>
      </c>
      <c r="AA34" s="1562">
        <f t="shared" si="3"/>
        <v>1</v>
      </c>
      <c r="AB34" s="1562">
        <f t="shared" si="4"/>
        <v>1</v>
      </c>
      <c r="AC34" s="1562">
        <f t="shared" si="5"/>
        <v>1</v>
      </c>
    </row>
    <row r="35" spans="1:29" ht="21.6" thickBot="1">
      <c r="A35" s="532"/>
      <c r="B35" s="566"/>
      <c r="C35" s="554" t="s">
        <v>3120</v>
      </c>
      <c r="D35" s="557"/>
      <c r="E35" s="554" t="s">
        <v>3120</v>
      </c>
      <c r="F35" s="555"/>
      <c r="G35" s="554" t="s">
        <v>3120</v>
      </c>
      <c r="H35" s="555"/>
      <c r="I35" s="554" t="s">
        <v>3120</v>
      </c>
      <c r="J35" s="555"/>
      <c r="K35" s="581"/>
      <c r="L35" s="2125"/>
      <c r="M35" s="2115"/>
      <c r="N35" s="2115"/>
      <c r="O35" s="2124"/>
      <c r="P35" s="3513"/>
      <c r="Q35" s="1558"/>
      <c r="R35" s="1559"/>
      <c r="S35" s="1560"/>
      <c r="T35" s="1559"/>
      <c r="U35" s="1560"/>
      <c r="V35" s="1559"/>
      <c r="W35" s="1560"/>
      <c r="X35" s="1553"/>
      <c r="Y35" s="3513"/>
      <c r="Z35" s="1561"/>
      <c r="AA35" s="1562">
        <v>1</v>
      </c>
      <c r="AB35" s="1562">
        <v>1</v>
      </c>
      <c r="AC35" s="1562">
        <v>1</v>
      </c>
    </row>
    <row r="36" spans="1:29" ht="21"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5"/>
      <c r="M36" s="2115"/>
      <c r="N36" s="2115"/>
      <c r="O36" s="2124"/>
      <c r="P36" s="3513"/>
      <c r="Q36" s="1558" t="str">
        <f t="shared" si="8"/>
        <v>土地级别</v>
      </c>
      <c r="R36" s="1559" t="s">
        <v>8</v>
      </c>
      <c r="S36" s="1560">
        <f t="shared" si="10"/>
        <v>100</v>
      </c>
      <c r="T36" s="1559" t="s">
        <v>8</v>
      </c>
      <c r="U36" s="1560">
        <f t="shared" si="11"/>
        <v>100</v>
      </c>
      <c r="V36" s="1559" t="s">
        <v>8</v>
      </c>
      <c r="W36" s="1560">
        <f t="shared" si="12"/>
        <v>100</v>
      </c>
      <c r="X36" s="1553"/>
      <c r="Y36" s="3513"/>
      <c r="Z36" s="1561" t="str">
        <f t="shared" si="13"/>
        <v>土地级别</v>
      </c>
      <c r="AA36" s="1562">
        <f t="shared" si="3"/>
        <v>1</v>
      </c>
      <c r="AB36" s="1562">
        <f t="shared" si="4"/>
        <v>1</v>
      </c>
      <c r="AC36" s="1562">
        <f t="shared" si="5"/>
        <v>1</v>
      </c>
    </row>
    <row r="37" spans="1:29" ht="21"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5"/>
      <c r="M37" s="2115"/>
      <c r="N37" s="2115"/>
      <c r="O37" s="2124"/>
      <c r="P37" s="3513"/>
      <c r="Q37" s="1558">
        <f t="shared" si="8"/>
        <v>111</v>
      </c>
      <c r="R37" s="1559" t="s">
        <v>8</v>
      </c>
      <c r="S37" s="1560">
        <f t="shared" si="10"/>
        <v>100</v>
      </c>
      <c r="T37" s="1559" t="s">
        <v>8</v>
      </c>
      <c r="U37" s="1560">
        <f t="shared" si="11"/>
        <v>100</v>
      </c>
      <c r="V37" s="1559" t="s">
        <v>8</v>
      </c>
      <c r="W37" s="1560">
        <f t="shared" si="12"/>
        <v>100</v>
      </c>
      <c r="X37" s="1553"/>
      <c r="Y37" s="3513"/>
      <c r="Z37" s="1561">
        <f t="shared" si="13"/>
        <v>111</v>
      </c>
      <c r="AA37" s="1562">
        <f t="shared" si="3"/>
        <v>1</v>
      </c>
      <c r="AB37" s="1562">
        <f t="shared" si="4"/>
        <v>1</v>
      </c>
      <c r="AC37" s="1562">
        <f t="shared" si="5"/>
        <v>1</v>
      </c>
    </row>
    <row r="38" spans="1:29" ht="21"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5"/>
      <c r="M38" s="2115"/>
      <c r="N38" s="2115"/>
      <c r="O38" s="2124"/>
      <c r="P38" s="3514" t="s">
        <v>550</v>
      </c>
      <c r="Q38" s="1558">
        <f t="shared" si="8"/>
        <v>111</v>
      </c>
      <c r="R38" s="1559" t="s">
        <v>8</v>
      </c>
      <c r="S38" s="1560">
        <f t="shared" si="10"/>
        <v>100</v>
      </c>
      <c r="T38" s="1559" t="s">
        <v>8</v>
      </c>
      <c r="U38" s="1560">
        <f t="shared" si="11"/>
        <v>100</v>
      </c>
      <c r="V38" s="1559" t="s">
        <v>8</v>
      </c>
      <c r="W38" s="1560">
        <f t="shared" si="12"/>
        <v>100</v>
      </c>
      <c r="X38" s="1553"/>
      <c r="Y38" s="3515" t="s">
        <v>550</v>
      </c>
      <c r="Z38" s="1561">
        <f t="shared" si="13"/>
        <v>111</v>
      </c>
      <c r="AA38" s="1562">
        <f t="shared" si="3"/>
        <v>1</v>
      </c>
      <c r="AB38" s="1562">
        <f t="shared" si="4"/>
        <v>1</v>
      </c>
      <c r="AC38" s="1562">
        <f t="shared" si="5"/>
        <v>1</v>
      </c>
    </row>
    <row r="39" spans="1:29" s="1335" customFormat="1" ht="21.6"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3"/>
      <c r="M39" s="2115"/>
      <c r="N39" s="2115"/>
      <c r="O39" s="2126"/>
      <c r="P39" s="3515"/>
      <c r="Q39" s="1558">
        <f t="shared" si="8"/>
        <v>111</v>
      </c>
      <c r="R39" s="1563" t="s">
        <v>8</v>
      </c>
      <c r="S39" s="1564">
        <f t="shared" si="10"/>
        <v>100</v>
      </c>
      <c r="T39" s="1563" t="s">
        <v>8</v>
      </c>
      <c r="U39" s="1564">
        <f t="shared" si="11"/>
        <v>100</v>
      </c>
      <c r="V39" s="1563" t="s">
        <v>8</v>
      </c>
      <c r="W39" s="1564">
        <f t="shared" si="12"/>
        <v>100</v>
      </c>
      <c r="X39" s="1565"/>
      <c r="Y39" s="3515"/>
      <c r="Z39" s="1566">
        <f t="shared" si="13"/>
        <v>111</v>
      </c>
      <c r="AA39" s="1562">
        <f t="shared" si="3"/>
        <v>1</v>
      </c>
      <c r="AB39" s="1562">
        <f t="shared" si="4"/>
        <v>1</v>
      </c>
      <c r="AC39" s="1562">
        <f t="shared" si="5"/>
        <v>1</v>
      </c>
    </row>
    <row r="40" spans="1:29" ht="21">
      <c r="A40" s="2860" t="s">
        <v>2751</v>
      </c>
      <c r="B40" s="595" t="s">
        <v>552</v>
      </c>
      <c r="C40" s="596">
        <f>'数据-基础表'!A3</f>
        <v>22322.400000000001</v>
      </c>
      <c r="D40" s="597">
        <v>100</v>
      </c>
      <c r="E40" s="596">
        <f>土地案例!D3</f>
        <v>56226.32</v>
      </c>
      <c r="F40" s="597">
        <f>LOOKUP(E40,119:119,120:120)-LOOKUP(C40,119:119,120:120)+100</f>
        <v>104</v>
      </c>
      <c r="G40" s="596">
        <f>土地案例!$D$8</f>
        <v>3795.12</v>
      </c>
      <c r="H40" s="597">
        <f>LOOKUP(G40,119:119,120:120)-LOOKUP(C40,119:119,120:120)+100</f>
        <v>96</v>
      </c>
      <c r="I40" s="598">
        <f>土地案例!$D$14</f>
        <v>26682.38</v>
      </c>
      <c r="J40" s="597">
        <f>LOOKUP(I40,119:119,120:120)-LOOKUP(C40,119:119,120:120)+100</f>
        <v>100</v>
      </c>
      <c r="K40" s="581"/>
      <c r="L40" s="2125"/>
      <c r="M40" s="2115"/>
      <c r="N40" s="2115"/>
      <c r="O40" s="2124"/>
      <c r="P40" s="3515"/>
      <c r="Q40" s="1558" t="str">
        <f>B40</f>
        <v>宗地面积</v>
      </c>
      <c r="R40" s="1559" t="s">
        <v>8</v>
      </c>
      <c r="S40" s="1560">
        <f t="shared" si="10"/>
        <v>104</v>
      </c>
      <c r="T40" s="1559" t="s">
        <v>8</v>
      </c>
      <c r="U40" s="1560">
        <f t="shared" si="11"/>
        <v>96</v>
      </c>
      <c r="V40" s="1559" t="s">
        <v>8</v>
      </c>
      <c r="W40" s="1560">
        <f t="shared" si="12"/>
        <v>100</v>
      </c>
      <c r="X40" s="1553"/>
      <c r="Y40" s="3515"/>
      <c r="Z40" s="1561" t="str">
        <f t="shared" si="13"/>
        <v>宗地面积</v>
      </c>
      <c r="AA40" s="1562">
        <f t="shared" si="3"/>
        <v>0.96153846153846156</v>
      </c>
      <c r="AB40" s="1562">
        <f t="shared" si="4"/>
        <v>1.0416666666666667</v>
      </c>
      <c r="AC40" s="1562">
        <f t="shared" si="5"/>
        <v>1</v>
      </c>
    </row>
    <row r="41" spans="1:29" ht="21">
      <c r="A41" s="594"/>
      <c r="B41" s="527" t="s">
        <v>553</v>
      </c>
      <c r="C41" s="599" t="s">
        <v>3145</v>
      </c>
      <c r="D41" s="540">
        <v>100</v>
      </c>
      <c r="E41" s="599" t="s">
        <v>3145</v>
      </c>
      <c r="F41" s="540">
        <f>SUMIF(121:121,E41,122:122)-SUMIF(121:121,C41,122:122)+100</f>
        <v>100</v>
      </c>
      <c r="G41" s="599" t="s">
        <v>3145</v>
      </c>
      <c r="H41" s="540">
        <f>SUMIF(121:121,G41,122:122)-SUMIF(121:121,C41,122:122)+100</f>
        <v>100</v>
      </c>
      <c r="I41" s="599" t="s">
        <v>3145</v>
      </c>
      <c r="J41" s="540">
        <f>SUMIF(121:121,I41,122:122)-SUMIF(121:121,C41,122:122)+100</f>
        <v>100</v>
      </c>
      <c r="K41" s="584">
        <v>2</v>
      </c>
      <c r="L41" s="2125"/>
      <c r="M41" s="2115"/>
      <c r="N41" s="2115"/>
      <c r="O41" s="2124"/>
      <c r="P41" s="3515"/>
      <c r="Q41" s="1558" t="str">
        <f t="shared" ref="Q41:Q47" si="14">B41</f>
        <v>宗地形状</v>
      </c>
      <c r="R41" s="1559" t="s">
        <v>8</v>
      </c>
      <c r="S41" s="1560">
        <f t="shared" si="10"/>
        <v>100</v>
      </c>
      <c r="T41" s="1559" t="s">
        <v>8</v>
      </c>
      <c r="U41" s="1560">
        <f t="shared" si="11"/>
        <v>100</v>
      </c>
      <c r="V41" s="1559" t="s">
        <v>8</v>
      </c>
      <c r="W41" s="1560">
        <f t="shared" si="12"/>
        <v>100</v>
      </c>
      <c r="X41" s="1553"/>
      <c r="Y41" s="3515"/>
      <c r="Z41" s="1561" t="str">
        <f t="shared" si="13"/>
        <v>宗地形状</v>
      </c>
      <c r="AA41" s="1562">
        <f t="shared" si="3"/>
        <v>1</v>
      </c>
      <c r="AB41" s="1562">
        <f t="shared" si="4"/>
        <v>1</v>
      </c>
      <c r="AC41" s="1562">
        <f t="shared" si="5"/>
        <v>1</v>
      </c>
    </row>
    <row r="42" spans="1:29" ht="21">
      <c r="A42" s="594"/>
      <c r="B42" s="527" t="s">
        <v>554</v>
      </c>
      <c r="C42" s="599" t="s">
        <v>3150</v>
      </c>
      <c r="D42" s="540">
        <v>100</v>
      </c>
      <c r="E42" s="599" t="s">
        <v>3150</v>
      </c>
      <c r="F42" s="540">
        <f>SUMIF(123:123,E42,124:124)-SUMIF(123:123,C42,124:124)+100</f>
        <v>100</v>
      </c>
      <c r="G42" s="599" t="s">
        <v>3150</v>
      </c>
      <c r="H42" s="540">
        <f>SUMIF(123:123,G42,124:124)-SUMIF(123:123,C42,124:124)+100</f>
        <v>100</v>
      </c>
      <c r="I42" s="599" t="s">
        <v>3150</v>
      </c>
      <c r="J42" s="540">
        <f>SUMIF(123:123,I42,124:124)-SUMIF(123:123,C42,124:124)+100</f>
        <v>100</v>
      </c>
      <c r="K42" s="584">
        <v>2</v>
      </c>
      <c r="L42" s="2125"/>
      <c r="M42" s="2115"/>
      <c r="N42" s="2115"/>
      <c r="O42" s="2124"/>
      <c r="P42" s="3515"/>
      <c r="Q42" s="1558" t="str">
        <f t="shared" si="14"/>
        <v>临街宽度及深度</v>
      </c>
      <c r="R42" s="1559" t="s">
        <v>8</v>
      </c>
      <c r="S42" s="1560">
        <f t="shared" si="10"/>
        <v>100</v>
      </c>
      <c r="T42" s="1559" t="s">
        <v>8</v>
      </c>
      <c r="U42" s="1560">
        <f t="shared" si="11"/>
        <v>100</v>
      </c>
      <c r="V42" s="1559" t="s">
        <v>8</v>
      </c>
      <c r="W42" s="1560">
        <f t="shared" si="12"/>
        <v>100</v>
      </c>
      <c r="X42" s="1553"/>
      <c r="Y42" s="3515"/>
      <c r="Z42" s="1561" t="str">
        <f t="shared" si="13"/>
        <v>临街宽度及深度</v>
      </c>
      <c r="AA42" s="1562">
        <f t="shared" si="3"/>
        <v>1</v>
      </c>
      <c r="AB42" s="1562">
        <f t="shared" si="4"/>
        <v>1</v>
      </c>
      <c r="AC42" s="1562">
        <f t="shared" si="5"/>
        <v>1</v>
      </c>
    </row>
    <row r="43" spans="1:29" s="1216" customFormat="1" ht="21">
      <c r="A43" s="600"/>
      <c r="B43" s="1878" t="s">
        <v>2421</v>
      </c>
      <c r="C43" s="601" t="s">
        <v>3148</v>
      </c>
      <c r="D43" s="255">
        <v>100</v>
      </c>
      <c r="E43" s="601" t="s">
        <v>3148</v>
      </c>
      <c r="F43" s="540">
        <f>SUMIF(125:125,E43,126:126)-SUMIF(125:125,C43,126:126)+100</f>
        <v>100</v>
      </c>
      <c r="G43" s="601" t="s">
        <v>3148</v>
      </c>
      <c r="H43" s="540">
        <f>SUMIF(125:125,G43,126:126)-SUMIF(125:125,C43,126:126)+100</f>
        <v>100</v>
      </c>
      <c r="I43" s="601" t="s">
        <v>3148</v>
      </c>
      <c r="J43" s="540">
        <f>SUMIF(125:125,I43,126:126)-SUMIF(125:125,C43,126:126)+100</f>
        <v>100</v>
      </c>
      <c r="K43" s="584">
        <v>2</v>
      </c>
      <c r="L43" s="2118"/>
      <c r="M43" s="2115"/>
      <c r="N43" s="2115"/>
      <c r="O43" s="2120"/>
      <c r="P43" s="3515"/>
      <c r="Q43" s="1558" t="str">
        <f t="shared" si="14"/>
        <v>宗地开发程度</v>
      </c>
      <c r="R43" s="1554" t="s">
        <v>8</v>
      </c>
      <c r="S43" s="1555">
        <f t="shared" si="10"/>
        <v>100</v>
      </c>
      <c r="T43" s="1554" t="s">
        <v>8</v>
      </c>
      <c r="U43" s="1555">
        <f t="shared" si="11"/>
        <v>100</v>
      </c>
      <c r="V43" s="1554" t="s">
        <v>8</v>
      </c>
      <c r="W43" s="1555">
        <f t="shared" si="12"/>
        <v>100</v>
      </c>
      <c r="X43" s="1556"/>
      <c r="Y43" s="3515"/>
      <c r="Z43" s="1146" t="str">
        <f t="shared" si="13"/>
        <v>宗地开发程度</v>
      </c>
      <c r="AA43" s="1557">
        <f t="shared" si="3"/>
        <v>1</v>
      </c>
      <c r="AB43" s="1557">
        <f t="shared" si="4"/>
        <v>1</v>
      </c>
      <c r="AC43" s="1557">
        <f t="shared" si="5"/>
        <v>1</v>
      </c>
    </row>
    <row r="44" spans="1:29" ht="21.6" thickBot="1">
      <c r="A44" s="594"/>
      <c r="B44" s="527" t="s">
        <v>555</v>
      </c>
      <c r="C44" s="599" t="s">
        <v>3134</v>
      </c>
      <c r="D44" s="540">
        <v>100</v>
      </c>
      <c r="E44" s="599" t="s">
        <v>3134</v>
      </c>
      <c r="F44" s="540">
        <f>SUMIF(127:127,E44,128:128)-SUMIF(127:127,C44,128:128)+100</f>
        <v>100</v>
      </c>
      <c r="G44" s="599" t="s">
        <v>3134</v>
      </c>
      <c r="H44" s="540">
        <f>SUMIF(127:127,G44,128:128)-SUMIF(127:127,C44,128:128)+100</f>
        <v>100</v>
      </c>
      <c r="I44" s="599" t="s">
        <v>3134</v>
      </c>
      <c r="J44" s="540">
        <f>SUMIF(127:127,I44,128:128)-SUMIF(127:127,C44,128:128)+100</f>
        <v>100</v>
      </c>
      <c r="K44" s="584">
        <v>2</v>
      </c>
      <c r="L44" s="2125"/>
      <c r="M44" s="2115"/>
      <c r="N44" s="2115"/>
      <c r="O44" s="2124"/>
      <c r="P44" s="3515" t="s">
        <v>550</v>
      </c>
      <c r="Q44" s="1558" t="str">
        <f t="shared" si="14"/>
        <v>工程地质条件</v>
      </c>
      <c r="R44" s="1559" t="s">
        <v>8</v>
      </c>
      <c r="S44" s="1560">
        <f t="shared" si="10"/>
        <v>100</v>
      </c>
      <c r="T44" s="1559" t="s">
        <v>8</v>
      </c>
      <c r="U44" s="1560">
        <f t="shared" si="11"/>
        <v>100</v>
      </c>
      <c r="V44" s="1559" t="s">
        <v>8</v>
      </c>
      <c r="W44" s="1560">
        <f t="shared" si="12"/>
        <v>100</v>
      </c>
      <c r="X44" s="1553"/>
      <c r="Y44" s="3515" t="s">
        <v>550</v>
      </c>
      <c r="Z44" s="1561" t="str">
        <f t="shared" si="13"/>
        <v>工程地质条件</v>
      </c>
      <c r="AA44" s="1562">
        <f t="shared" si="3"/>
        <v>1</v>
      </c>
      <c r="AB44" s="1562">
        <f t="shared" si="4"/>
        <v>1</v>
      </c>
      <c r="AC44" s="1562">
        <f t="shared" si="5"/>
        <v>1</v>
      </c>
    </row>
    <row r="45" spans="1:29" ht="21"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5"/>
      <c r="M45" s="2115"/>
      <c r="N45" s="2115"/>
      <c r="O45" s="2124"/>
      <c r="P45" s="3515"/>
      <c r="Q45" s="1558">
        <f t="shared" si="14"/>
        <v>111</v>
      </c>
      <c r="R45" s="1559" t="s">
        <v>8</v>
      </c>
      <c r="S45" s="1560">
        <f t="shared" si="10"/>
        <v>100</v>
      </c>
      <c r="T45" s="1559" t="s">
        <v>8</v>
      </c>
      <c r="U45" s="1560">
        <f t="shared" si="11"/>
        <v>100</v>
      </c>
      <c r="V45" s="1559" t="s">
        <v>8</v>
      </c>
      <c r="W45" s="1560">
        <f t="shared" si="12"/>
        <v>100</v>
      </c>
      <c r="X45" s="1553"/>
      <c r="Y45" s="3515"/>
      <c r="Z45" s="1561">
        <f t="shared" si="13"/>
        <v>111</v>
      </c>
      <c r="AA45" s="1562">
        <f t="shared" si="3"/>
        <v>1</v>
      </c>
      <c r="AB45" s="1562">
        <f t="shared" si="4"/>
        <v>1</v>
      </c>
      <c r="AC45" s="1562">
        <f t="shared" si="5"/>
        <v>1</v>
      </c>
    </row>
    <row r="46" spans="1:29" ht="21"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5"/>
      <c r="M46" s="2115"/>
      <c r="N46" s="2115"/>
      <c r="O46" s="2124"/>
      <c r="P46" s="3515"/>
      <c r="Q46" s="1558">
        <f t="shared" si="14"/>
        <v>111</v>
      </c>
      <c r="R46" s="1559" t="s">
        <v>8</v>
      </c>
      <c r="S46" s="1560">
        <f t="shared" si="10"/>
        <v>100</v>
      </c>
      <c r="T46" s="1559" t="s">
        <v>8</v>
      </c>
      <c r="U46" s="1560">
        <f t="shared" si="11"/>
        <v>100</v>
      </c>
      <c r="V46" s="1559" t="s">
        <v>8</v>
      </c>
      <c r="W46" s="1560">
        <f t="shared" si="12"/>
        <v>100</v>
      </c>
      <c r="X46" s="1553"/>
      <c r="Y46" s="3515"/>
      <c r="Z46" s="1561">
        <f t="shared" si="13"/>
        <v>111</v>
      </c>
      <c r="AA46" s="1562">
        <f t="shared" si="3"/>
        <v>1</v>
      </c>
      <c r="AB46" s="1562">
        <f t="shared" si="4"/>
        <v>1</v>
      </c>
      <c r="AC46" s="1562">
        <f t="shared" si="5"/>
        <v>1</v>
      </c>
    </row>
    <row r="47" spans="1:29" s="1335" customFormat="1" ht="21.6"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3"/>
      <c r="M47" s="2115"/>
      <c r="N47" s="2115"/>
      <c r="O47" s="2126"/>
      <c r="P47" s="3515"/>
      <c r="Q47" s="1558">
        <f t="shared" si="14"/>
        <v>111</v>
      </c>
      <c r="R47" s="1563" t="s">
        <v>8</v>
      </c>
      <c r="S47" s="1564">
        <f t="shared" si="10"/>
        <v>100</v>
      </c>
      <c r="T47" s="1563" t="s">
        <v>8</v>
      </c>
      <c r="U47" s="1564">
        <f t="shared" si="11"/>
        <v>100</v>
      </c>
      <c r="V47" s="1563" t="s">
        <v>8</v>
      </c>
      <c r="W47" s="1564">
        <f t="shared" si="12"/>
        <v>100</v>
      </c>
      <c r="X47" s="1565"/>
      <c r="Y47" s="3515"/>
      <c r="Z47" s="1566">
        <f t="shared" si="13"/>
        <v>111</v>
      </c>
      <c r="AA47" s="1562">
        <f t="shared" si="3"/>
        <v>1</v>
      </c>
      <c r="AB47" s="1562">
        <f t="shared" si="4"/>
        <v>1</v>
      </c>
      <c r="AC47" s="1562">
        <f t="shared" si="5"/>
        <v>1</v>
      </c>
    </row>
    <row r="48" spans="1:29" ht="21">
      <c r="A48" s="607" t="s">
        <v>556</v>
      </c>
      <c r="B48" s="608" t="s">
        <v>3115</v>
      </c>
      <c r="C48" s="609" t="s">
        <v>1</v>
      </c>
      <c r="D48" s="610"/>
      <c r="E48" s="3254">
        <f>土地案例!$K$3</f>
        <v>1708</v>
      </c>
      <c r="F48" s="612"/>
      <c r="G48" s="613">
        <f>土地案例!$K$8</f>
        <v>1352</v>
      </c>
      <c r="H48" s="614"/>
      <c r="I48" s="611">
        <f>土地案例!$K$14</f>
        <v>1460</v>
      </c>
      <c r="J48" s="614"/>
      <c r="K48" s="1336"/>
      <c r="L48" s="2127"/>
      <c r="M48" s="2115"/>
      <c r="N48" s="2115"/>
      <c r="O48" s="2128"/>
      <c r="P48" s="3510" t="str">
        <f>A48</f>
        <v>成交单价</v>
      </c>
      <c r="Q48" s="3510"/>
      <c r="R48" s="3524">
        <f>E48</f>
        <v>1708</v>
      </c>
      <c r="S48" s="3524"/>
      <c r="T48" s="3524">
        <f>G48</f>
        <v>1352</v>
      </c>
      <c r="U48" s="3524"/>
      <c r="V48" s="3524">
        <f>I48</f>
        <v>1460</v>
      </c>
      <c r="W48" s="3524"/>
      <c r="X48" s="1545"/>
      <c r="Y48" s="1567"/>
      <c r="Z48" s="1545"/>
      <c r="AA48" s="1545"/>
      <c r="AB48" s="1545"/>
      <c r="AC48" s="1545"/>
    </row>
    <row r="49" spans="1:29" ht="21.6" thickBot="1">
      <c r="A49" s="615" t="s">
        <v>2689</v>
      </c>
      <c r="B49" s="616"/>
      <c r="C49" s="617">
        <f>R50</f>
        <v>1373</v>
      </c>
      <c r="D49" s="618"/>
      <c r="E49" s="617">
        <f>R49</f>
        <v>1490</v>
      </c>
      <c r="F49" s="619"/>
      <c r="G49" s="620">
        <f>T49</f>
        <v>1278</v>
      </c>
      <c r="H49" s="618"/>
      <c r="I49" s="617">
        <f>V49</f>
        <v>1352</v>
      </c>
      <c r="J49" s="618"/>
      <c r="K49" s="1337"/>
      <c r="L49" s="2127"/>
      <c r="M49" s="2115"/>
      <c r="N49" s="2115"/>
      <c r="O49" s="2128"/>
      <c r="P49" s="3510" t="str">
        <f>A49</f>
        <v>比较价格（元/平方米）</v>
      </c>
      <c r="Q49" s="3510"/>
      <c r="R49" s="3534">
        <f>ROUND(PRODUCT(R48,AA9:AA47),0)</f>
        <v>1490</v>
      </c>
      <c r="S49" s="3534"/>
      <c r="T49" s="3534">
        <f>ROUND(PRODUCT(T48,AB9:AB47),0)</f>
        <v>1278</v>
      </c>
      <c r="U49" s="3534"/>
      <c r="V49" s="3534">
        <f>ROUND(PRODUCT(V48,AC9:AC47),0)</f>
        <v>1352</v>
      </c>
      <c r="W49" s="3534"/>
      <c r="X49" s="1545"/>
      <c r="Y49" s="1545"/>
      <c r="Z49" s="1545"/>
      <c r="AA49" s="1545"/>
      <c r="AB49" s="1545"/>
      <c r="AC49" s="1545"/>
    </row>
    <row r="50" spans="1:29" ht="21.6" thickBot="1">
      <c r="A50" s="621" t="s">
        <v>2929</v>
      </c>
      <c r="B50" s="622"/>
      <c r="C50" s="623">
        <f>R50</f>
        <v>1373</v>
      </c>
      <c r="D50" s="623"/>
      <c r="E50" s="623"/>
      <c r="F50" s="623"/>
      <c r="G50" s="623"/>
      <c r="H50" s="623"/>
      <c r="I50" s="623"/>
      <c r="J50" s="623"/>
      <c r="K50" s="1338"/>
      <c r="L50" s="2127"/>
      <c r="M50" s="2115"/>
      <c r="N50" s="2115"/>
      <c r="O50" s="2128"/>
      <c r="P50" s="3531" t="str">
        <f>A50</f>
        <v>估价对象XX用房的比较价格（楼面单价，元/平方米）</v>
      </c>
      <c r="Q50" s="3532"/>
      <c r="R50" s="3533">
        <f>ROUND(AVERAGE(R49:V49),0)</f>
        <v>1373</v>
      </c>
      <c r="S50" s="3533"/>
      <c r="T50" s="3533"/>
      <c r="U50" s="3533"/>
      <c r="V50" s="3533"/>
      <c r="W50" s="3533"/>
      <c r="X50" s="1545"/>
      <c r="Y50" s="1545"/>
      <c r="Z50" s="1545"/>
      <c r="AA50" s="1545"/>
      <c r="AB50" s="1545"/>
      <c r="AC50" s="1545"/>
    </row>
    <row r="51" spans="1:29" ht="21">
      <c r="A51" s="2128"/>
      <c r="B51" s="2128"/>
      <c r="C51" s="2128"/>
      <c r="D51" s="2128"/>
      <c r="E51" s="2128"/>
      <c r="F51" s="2128"/>
      <c r="G51" s="2131"/>
      <c r="H51" s="2128"/>
      <c r="I51" s="2128"/>
      <c r="J51" s="2128"/>
      <c r="K51" s="2132"/>
      <c r="L51" s="2133"/>
      <c r="M51" s="2115"/>
      <c r="N51" s="2115"/>
      <c r="O51" s="2128"/>
      <c r="P51" s="1545"/>
      <c r="Q51" s="2128"/>
      <c r="R51" s="2128"/>
      <c r="S51" s="2128"/>
      <c r="T51" s="2128"/>
      <c r="U51" s="2128"/>
      <c r="V51" s="2128"/>
      <c r="W51" s="2128"/>
      <c r="X51" s="2128"/>
      <c r="Y51" s="2128"/>
      <c r="Z51" s="2128"/>
      <c r="AA51" s="2128"/>
      <c r="AB51" s="2128"/>
      <c r="AC51" s="2128"/>
    </row>
    <row r="52" spans="1:29" ht="21">
      <c r="A52" s="2128"/>
      <c r="B52" s="2128"/>
      <c r="C52" s="2128"/>
      <c r="D52" s="2128"/>
      <c r="E52" s="2128"/>
      <c r="F52" s="2128"/>
      <c r="G52" s="2128"/>
      <c r="H52" s="2128"/>
      <c r="I52" s="2128"/>
      <c r="J52" s="2128"/>
      <c r="K52" s="2132"/>
      <c r="L52" s="2133"/>
      <c r="M52" s="2115"/>
      <c r="N52" s="2115"/>
      <c r="O52" s="2128"/>
      <c r="P52" s="1545"/>
      <c r="Q52" s="2128"/>
      <c r="R52" s="2128"/>
      <c r="S52" s="2128"/>
      <c r="T52" s="2128"/>
      <c r="U52" s="2128"/>
      <c r="V52" s="2128"/>
      <c r="W52" s="2128"/>
      <c r="X52" s="2128"/>
      <c r="Y52" s="2128"/>
      <c r="Z52" s="2128"/>
      <c r="AA52" s="2128"/>
      <c r="AB52" s="2128"/>
      <c r="AC52" s="2128"/>
    </row>
    <row r="53" spans="1:29" ht="13.5" customHeight="1">
      <c r="A53" s="2128"/>
      <c r="B53" s="2128"/>
      <c r="C53" s="624" t="s">
        <v>557</v>
      </c>
      <c r="D53" s="625"/>
      <c r="E53" s="626">
        <f>IF(E48&lt;E49,E49/E48-1,E48/E49-1)</f>
        <v>0.1463087248322148</v>
      </c>
      <c r="F53" s="627" t="str">
        <f>IF(OR(E53&gt;=0.3,E53&lt;=-0.3),"超过30%","")</f>
        <v/>
      </c>
      <c r="G53" s="626">
        <f>IF(G48&lt;G49,G49/G48-1,G48/G49-1)</f>
        <v>5.790297339593109E-2</v>
      </c>
      <c r="H53" s="627" t="str">
        <f>IF(OR(G53&gt;=0.3,G53&lt;=-0.3),"超过30%","")</f>
        <v/>
      </c>
      <c r="I53" s="626">
        <f>IF(I48&lt;I49,I49/I48-1,I48/I49-1)</f>
        <v>7.9881656804733803E-2</v>
      </c>
      <c r="J53" s="627" t="str">
        <f>IF(OR(I53&gt;=0.3,I53&lt;=-0.3),"超过30%","")</f>
        <v/>
      </c>
      <c r="K53" s="2132"/>
      <c r="L53" s="2133"/>
      <c r="M53" s="2115"/>
      <c r="N53" s="2115"/>
      <c r="O53" s="2128"/>
      <c r="P53" s="1545"/>
      <c r="Q53" s="2128"/>
      <c r="R53" s="2128"/>
      <c r="S53" s="2128"/>
      <c r="T53" s="2128"/>
      <c r="U53" s="2128"/>
      <c r="V53" s="2128"/>
      <c r="W53" s="2128"/>
      <c r="X53" s="2128"/>
      <c r="Y53" s="2128"/>
      <c r="Z53" s="2128"/>
      <c r="AA53" s="2128"/>
      <c r="AB53" s="2128"/>
      <c r="AC53" s="2128"/>
    </row>
    <row r="54" spans="1:29" ht="13.5" customHeight="1">
      <c r="A54" s="2128"/>
      <c r="B54" s="2128"/>
      <c r="C54" s="624" t="s">
        <v>558</v>
      </c>
      <c r="D54" s="628"/>
      <c r="E54" s="626">
        <f>IF(E49&lt;G49,G49/E49-1,E49/G49-1)</f>
        <v>0.16588419405320809</v>
      </c>
      <c r="F54" s="627" t="str">
        <f>IF(OR(E54&gt;=0.2,E54&lt;=-0.2),"超过20%","")</f>
        <v/>
      </c>
      <c r="G54" s="626">
        <f>IF(G49&lt;I49,I49/G49-1,G49/I49-1)</f>
        <v>5.790297339593109E-2</v>
      </c>
      <c r="H54" s="627" t="str">
        <f>IF(OR(G54&gt;=0.2,G54&lt;=-0.2),"超过20%","")</f>
        <v/>
      </c>
      <c r="I54" s="626">
        <f>IF(I49&lt;E49,E49/I49-1,I49/E49-1)</f>
        <v>0.10207100591715967</v>
      </c>
      <c r="J54" s="627" t="str">
        <f>IF(OR(I54&gt;=0.2,I54&lt;=-0.2),"超过20%","")</f>
        <v/>
      </c>
      <c r="K54" s="2132"/>
      <c r="L54" s="2133"/>
      <c r="M54" s="2115"/>
      <c r="N54" s="2115"/>
      <c r="O54" s="2128"/>
      <c r="P54" s="1545"/>
      <c r="Q54" s="2128"/>
      <c r="R54" s="2128"/>
      <c r="S54" s="2128"/>
      <c r="T54" s="2128"/>
      <c r="U54" s="2128"/>
      <c r="V54" s="2128"/>
      <c r="W54" s="2128"/>
      <c r="X54" s="2128"/>
      <c r="Y54" s="2128"/>
      <c r="Z54" s="2128"/>
      <c r="AA54" s="2128"/>
      <c r="AB54" s="2128"/>
      <c r="AC54" s="2128"/>
    </row>
    <row r="55" spans="1:29" s="1341" customFormat="1" ht="13.5" customHeight="1">
      <c r="A55" s="2129"/>
      <c r="B55" s="2129"/>
      <c r="C55" s="624" t="s">
        <v>559</v>
      </c>
      <c r="D55" s="628"/>
      <c r="E55" s="626">
        <f>IF(E48&lt;G48,G48/E48-1,E48/G48-1)</f>
        <v>0.26331360946745552</v>
      </c>
      <c r="F55" s="627" t="str">
        <f>IF(OR(E55&gt;=0.3,E55&lt;=-0.3),"超过30%","")</f>
        <v/>
      </c>
      <c r="G55" s="626">
        <f>IF(G48&lt;I48,I48/G48-1,G48/I48-1)</f>
        <v>7.9881656804733803E-2</v>
      </c>
      <c r="H55" s="627" t="str">
        <f>IF(OR(G55&gt;=0.3,G55&lt;=-0.3),"超过30%","")</f>
        <v/>
      </c>
      <c r="I55" s="626">
        <f>IF(I48&lt;E48,E48/I48-1,I48/E48-1)</f>
        <v>0.16986301369863011</v>
      </c>
      <c r="J55" s="627" t="str">
        <f>IF(OR(I55&gt;=0.3,I55&lt;=-0.3),"超过30%","")</f>
        <v/>
      </c>
      <c r="K55" s="2135"/>
      <c r="L55" s="2136"/>
      <c r="M55" s="2115"/>
      <c r="N55" s="2115"/>
      <c r="O55" s="2129"/>
      <c r="P55" s="1543"/>
      <c r="Q55" s="2129"/>
      <c r="R55" s="2129"/>
      <c r="S55" s="2129"/>
      <c r="T55" s="2129"/>
      <c r="U55" s="2129"/>
      <c r="V55" s="2129"/>
      <c r="W55" s="2129"/>
      <c r="X55" s="2129"/>
      <c r="Y55" s="2129"/>
      <c r="Z55" s="2129"/>
      <c r="AA55" s="2129"/>
      <c r="AB55" s="2129"/>
      <c r="AC55" s="2129"/>
    </row>
    <row r="56" spans="1:29" s="1341" customFormat="1" ht="21.6" thickBot="1">
      <c r="A56" s="2129"/>
      <c r="B56" s="2130"/>
      <c r="C56" s="2134"/>
      <c r="D56" s="2129"/>
      <c r="E56" s="2129"/>
      <c r="F56" s="2129"/>
      <c r="G56" s="2129"/>
      <c r="H56" s="2129"/>
      <c r="I56" s="2129"/>
      <c r="J56" s="2129"/>
      <c r="K56" s="2135"/>
      <c r="L56" s="2136"/>
      <c r="M56" s="2115"/>
      <c r="N56" s="2115"/>
      <c r="O56" s="2129"/>
      <c r="P56" s="1543"/>
      <c r="Q56" s="2129"/>
      <c r="R56" s="2129"/>
      <c r="S56" s="2129"/>
      <c r="T56" s="2129"/>
      <c r="U56" s="2129"/>
      <c r="V56" s="2129"/>
      <c r="W56" s="2129"/>
      <c r="X56" s="2129"/>
      <c r="Y56" s="2129"/>
      <c r="Z56" s="2129"/>
      <c r="AA56" s="2129"/>
      <c r="AB56" s="2129"/>
      <c r="AC56" s="2129"/>
    </row>
    <row r="57" spans="1:29" ht="26.25" customHeight="1">
      <c r="A57" s="629" t="s">
        <v>560</v>
      </c>
      <c r="B57" s="630" t="s">
        <v>561</v>
      </c>
      <c r="C57" s="1546" t="s">
        <v>1723</v>
      </c>
      <c r="D57" s="2210" t="s">
        <v>2290</v>
      </c>
      <c r="E57" s="631" t="s">
        <v>562</v>
      </c>
      <c r="F57" s="632" t="s">
        <v>563</v>
      </c>
      <c r="G57" s="3494" t="s">
        <v>2278</v>
      </c>
      <c r="H57" s="3495"/>
      <c r="I57" s="1541" t="s">
        <v>1721</v>
      </c>
      <c r="J57" s="1541" t="str">
        <f>项目基本情况!F41</f>
        <v>重庆市</v>
      </c>
      <c r="K57" s="2137" t="s">
        <v>1722</v>
      </c>
      <c r="L57" s="2133"/>
      <c r="M57" s="2128"/>
      <c r="N57" s="2128"/>
      <c r="O57" s="2128"/>
      <c r="P57" s="2128"/>
      <c r="Q57" s="2128"/>
      <c r="R57" s="2128"/>
      <c r="S57" s="2128"/>
      <c r="T57" s="2128"/>
      <c r="U57" s="2128"/>
      <c r="V57" s="2128"/>
      <c r="W57" s="2128"/>
      <c r="X57" s="2128"/>
      <c r="Y57" s="2128"/>
      <c r="Z57" s="2128"/>
      <c r="AA57" s="2128"/>
      <c r="AB57" s="2128"/>
      <c r="AC57" s="2128"/>
    </row>
    <row r="58" spans="1:29" s="1342" customFormat="1" ht="13.2">
      <c r="A58" s="633" t="s">
        <v>564</v>
      </c>
      <c r="B58" s="634">
        <f>C50</f>
        <v>1373</v>
      </c>
      <c r="C58" s="635">
        <v>1</v>
      </c>
      <c r="D58" s="2211">
        <v>1</v>
      </c>
      <c r="E58" s="635">
        <f>'数据-汇总表'!E8+'数据-汇总表'!E9</f>
        <v>120907.58</v>
      </c>
      <c r="F58" s="636">
        <f t="shared" ref="F58:F67" si="15">ROUND(B58*E58/10000,0)</f>
        <v>16601</v>
      </c>
      <c r="G58" s="3496"/>
      <c r="H58" s="3497"/>
      <c r="I58" s="1542">
        <v>1</v>
      </c>
      <c r="J58" s="1542">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2" customFormat="1" ht="13.2">
      <c r="A59" s="637" t="s">
        <v>565</v>
      </c>
      <c r="B59" s="638">
        <f>ROUND($C$50*C59*D59,0)</f>
        <v>0</v>
      </c>
      <c r="C59" s="378">
        <f t="shared" ref="C59:C67" si="16">IF($C$57="北京市系数",I59,J59)</f>
        <v>0</v>
      </c>
      <c r="D59" s="2212">
        <v>0.25</v>
      </c>
      <c r="E59" s="639">
        <v>0</v>
      </c>
      <c r="F59" s="636">
        <f t="shared" si="15"/>
        <v>0</v>
      </c>
      <c r="G59" s="3498" t="s">
        <v>2279</v>
      </c>
      <c r="H59" s="1931">
        <f>项目基本情况!B43</f>
        <v>0</v>
      </c>
      <c r="I59" s="1542">
        <f>SUMIF(修正!$A$45:$A$56,H59,修正!B45:B56)</f>
        <v>0</v>
      </c>
      <c r="J59" s="1544"/>
      <c r="K59" s="2138"/>
      <c r="L59" s="2138"/>
      <c r="M59" s="2138"/>
      <c r="N59" s="2138"/>
      <c r="O59" s="2138"/>
      <c r="P59" s="2138"/>
      <c r="Q59" s="2138"/>
      <c r="R59" s="2138"/>
      <c r="S59" s="2138"/>
      <c r="T59" s="2138"/>
      <c r="U59" s="2138"/>
      <c r="V59" s="2138"/>
      <c r="W59" s="2138"/>
      <c r="X59" s="2138"/>
      <c r="Y59" s="2138"/>
      <c r="Z59" s="2138"/>
      <c r="AA59" s="2138"/>
      <c r="AB59" s="2138"/>
      <c r="AC59" s="2138"/>
    </row>
    <row r="60" spans="1:29" s="1342" customFormat="1" ht="13.2">
      <c r="A60" s="637" t="s">
        <v>566</v>
      </c>
      <c r="B60" s="638">
        <f t="shared" ref="B60:B67" si="17">ROUND($C$50*C60*D60,0)</f>
        <v>0</v>
      </c>
      <c r="C60" s="378">
        <f t="shared" si="16"/>
        <v>0</v>
      </c>
      <c r="D60" s="2212">
        <v>0.25</v>
      </c>
      <c r="E60" s="639">
        <v>0</v>
      </c>
      <c r="F60" s="636">
        <f t="shared" si="15"/>
        <v>0</v>
      </c>
      <c r="G60" s="3498"/>
      <c r="H60" s="1931">
        <f>项目基本情况!B43</f>
        <v>0</v>
      </c>
      <c r="I60" s="1542">
        <f>SUMIF(修正!$A$45:$A$56,H60,修正!C45:C56)</f>
        <v>0</v>
      </c>
      <c r="J60" s="1544"/>
      <c r="K60" s="2138"/>
      <c r="L60" s="2138"/>
      <c r="M60" s="2138"/>
      <c r="N60" s="2138"/>
      <c r="O60" s="2138"/>
      <c r="P60" s="2138"/>
      <c r="Q60" s="2138"/>
      <c r="R60" s="2138"/>
      <c r="S60" s="2138"/>
      <c r="T60" s="2138"/>
      <c r="U60" s="2138"/>
      <c r="V60" s="2138"/>
      <c r="W60" s="2138"/>
      <c r="X60" s="2138"/>
      <c r="Y60" s="2138"/>
      <c r="Z60" s="2138"/>
      <c r="AA60" s="2138"/>
      <c r="AB60" s="2138"/>
      <c r="AC60" s="2138"/>
    </row>
    <row r="61" spans="1:29" s="1342" customFormat="1" ht="13.2">
      <c r="A61" s="637" t="s">
        <v>567</v>
      </c>
      <c r="B61" s="638">
        <f t="shared" si="17"/>
        <v>0</v>
      </c>
      <c r="C61" s="378">
        <f t="shared" si="16"/>
        <v>0</v>
      </c>
      <c r="D61" s="2212">
        <v>0.25</v>
      </c>
      <c r="E61" s="639">
        <v>0</v>
      </c>
      <c r="F61" s="636">
        <f t="shared" si="15"/>
        <v>0</v>
      </c>
      <c r="G61" s="3498"/>
      <c r="H61" s="1931">
        <f>项目基本情况!B43</f>
        <v>0</v>
      </c>
      <c r="I61" s="1542">
        <f>SUMIF(修正!$A$45:$A$56,H61,修正!D45:D56)</f>
        <v>0</v>
      </c>
      <c r="J61" s="1544"/>
      <c r="K61" s="2138"/>
      <c r="L61" s="2138"/>
      <c r="M61" s="2138"/>
      <c r="N61" s="2138"/>
      <c r="O61" s="2138"/>
      <c r="P61" s="2138"/>
      <c r="Q61" s="2138"/>
      <c r="R61" s="2138"/>
      <c r="S61" s="2138"/>
      <c r="T61" s="2138"/>
      <c r="U61" s="2138"/>
      <c r="V61" s="2138"/>
      <c r="W61" s="2138"/>
      <c r="X61" s="2138"/>
      <c r="Y61" s="2138"/>
      <c r="Z61" s="2138"/>
      <c r="AA61" s="2138"/>
      <c r="AB61" s="2138"/>
      <c r="AC61" s="2138"/>
    </row>
    <row r="62" spans="1:29" s="1342" customFormat="1" ht="13.2">
      <c r="A62" s="637" t="s">
        <v>568</v>
      </c>
      <c r="B62" s="638">
        <f t="shared" si="17"/>
        <v>0</v>
      </c>
      <c r="C62" s="378">
        <f t="shared" si="16"/>
        <v>0</v>
      </c>
      <c r="D62" s="2212">
        <v>0.25</v>
      </c>
      <c r="E62" s="639">
        <v>0</v>
      </c>
      <c r="F62" s="636">
        <f t="shared" si="15"/>
        <v>0</v>
      </c>
      <c r="G62" s="3498"/>
      <c r="H62" s="1931">
        <f>项目基本情况!B43</f>
        <v>0</v>
      </c>
      <c r="I62" s="1542">
        <f>SUMIF(修正!$A$45:$A$56,H62,修正!E45:E56)</f>
        <v>0</v>
      </c>
      <c r="J62" s="1544"/>
      <c r="K62" s="2138"/>
      <c r="L62" s="2138"/>
      <c r="M62" s="2138"/>
      <c r="N62" s="2138"/>
      <c r="O62" s="2138"/>
      <c r="P62" s="2138"/>
      <c r="Q62" s="2138"/>
      <c r="R62" s="2138"/>
      <c r="S62" s="2138"/>
      <c r="T62" s="2138"/>
      <c r="U62" s="2138"/>
      <c r="V62" s="2138"/>
      <c r="W62" s="2138"/>
      <c r="X62" s="2138"/>
      <c r="Y62" s="2138"/>
      <c r="Z62" s="2138"/>
      <c r="AA62" s="2138"/>
      <c r="AB62" s="2138"/>
      <c r="AC62" s="2138"/>
    </row>
    <row r="63" spans="1:29" s="1342" customFormat="1" ht="13.2">
      <c r="A63" s="2314" t="s">
        <v>2325</v>
      </c>
      <c r="B63" s="638">
        <f t="shared" si="17"/>
        <v>0</v>
      </c>
      <c r="C63" s="378">
        <f t="shared" si="16"/>
        <v>0</v>
      </c>
      <c r="D63" s="2212">
        <v>0.25</v>
      </c>
      <c r="E63" s="641">
        <f>'数据-汇总表'!E11</f>
        <v>0</v>
      </c>
      <c r="F63" s="636">
        <f t="shared" si="15"/>
        <v>0</v>
      </c>
      <c r="G63" s="1928" t="s">
        <v>2280</v>
      </c>
      <c r="H63" s="1931">
        <f>项目基本情况!C43</f>
        <v>0</v>
      </c>
      <c r="I63" s="1542">
        <f>SUMIF(修正!$A$45:$A$56,H63,修正!F45:F56)</f>
        <v>0</v>
      </c>
      <c r="J63" s="1544"/>
      <c r="K63" s="2138"/>
      <c r="L63" s="2138"/>
      <c r="M63" s="2138"/>
      <c r="N63" s="2138"/>
      <c r="O63" s="2138"/>
      <c r="P63" s="2138"/>
      <c r="Q63" s="2138"/>
      <c r="R63" s="2138"/>
      <c r="S63" s="2138"/>
      <c r="T63" s="2138"/>
      <c r="U63" s="2138"/>
      <c r="V63" s="2138"/>
      <c r="W63" s="2138"/>
      <c r="X63" s="2138"/>
      <c r="Y63" s="2138"/>
      <c r="Z63" s="2138"/>
      <c r="AA63" s="2138"/>
      <c r="AB63" s="2138"/>
      <c r="AC63" s="2138"/>
    </row>
    <row r="64" spans="1:29" s="1342" customFormat="1" ht="13.2">
      <c r="A64" s="637" t="s">
        <v>569</v>
      </c>
      <c r="B64" s="638">
        <f t="shared" si="17"/>
        <v>0</v>
      </c>
      <c r="C64" s="378">
        <f t="shared" si="16"/>
        <v>0</v>
      </c>
      <c r="D64" s="2212">
        <v>0.25</v>
      </c>
      <c r="E64" s="641">
        <f>'数据-汇总表'!E12</f>
        <v>0</v>
      </c>
      <c r="F64" s="636">
        <f t="shared" si="15"/>
        <v>0</v>
      </c>
      <c r="G64" s="1929" t="s">
        <v>1677</v>
      </c>
      <c r="H64" s="1927">
        <f>IF(G64="商业",项目基本情况!B43,IF(G64="办公",项目基本情况!C43,IF(G64="住宅",项目基本情况!D43,项目基本情况!E43)))</f>
        <v>0</v>
      </c>
      <c r="I64" s="1542">
        <f>SUMIF(修正!$A$45:$A$56,H64,修正!G45:G56)</f>
        <v>0</v>
      </c>
      <c r="J64" s="1544"/>
      <c r="K64" s="2138"/>
      <c r="L64" s="2138"/>
      <c r="M64" s="2138"/>
      <c r="N64" s="2138"/>
      <c r="O64" s="2138"/>
      <c r="P64" s="2138"/>
      <c r="Q64" s="2138"/>
      <c r="R64" s="2138"/>
      <c r="S64" s="2138"/>
      <c r="T64" s="2138"/>
      <c r="U64" s="2138"/>
      <c r="V64" s="2138"/>
      <c r="W64" s="2138"/>
      <c r="X64" s="2138"/>
      <c r="Y64" s="2138"/>
      <c r="Z64" s="2138"/>
      <c r="AA64" s="2138"/>
      <c r="AB64" s="2138"/>
      <c r="AC64" s="2138"/>
    </row>
    <row r="65" spans="1:29" s="1342" customFormat="1" ht="13.2">
      <c r="A65" s="637" t="s">
        <v>570</v>
      </c>
      <c r="B65" s="638">
        <f t="shared" si="17"/>
        <v>0</v>
      </c>
      <c r="C65" s="378">
        <f t="shared" si="16"/>
        <v>0</v>
      </c>
      <c r="D65" s="2212">
        <v>0.25</v>
      </c>
      <c r="E65" s="641">
        <f>'数据-汇总表'!E13</f>
        <v>34630.9</v>
      </c>
      <c r="F65" s="636">
        <f t="shared" si="15"/>
        <v>0</v>
      </c>
      <c r="G65" s="1929" t="s">
        <v>923</v>
      </c>
      <c r="H65" s="1927">
        <f>IF(G65="商业",项目基本情况!B43,IF(G65="办公",项目基本情况!C43,IF(G65="住宅",项目基本情况!D43,项目基本情况!E43)))</f>
        <v>0</v>
      </c>
      <c r="I65" s="1542">
        <f>SUMIF(修正!$A$45:$A$56,H65,修正!H45:H56)</f>
        <v>0</v>
      </c>
      <c r="J65" s="1544"/>
      <c r="K65" s="2138"/>
      <c r="L65" s="2138"/>
      <c r="M65" s="2138"/>
      <c r="N65" s="2138"/>
      <c r="O65" s="2138"/>
      <c r="P65" s="2138"/>
      <c r="Q65" s="2138"/>
      <c r="R65" s="2138"/>
      <c r="S65" s="2138"/>
      <c r="T65" s="2138"/>
      <c r="U65" s="2138"/>
      <c r="V65" s="2138"/>
      <c r="W65" s="2138"/>
      <c r="X65" s="2138"/>
      <c r="Y65" s="2138"/>
      <c r="Z65" s="2138"/>
      <c r="AA65" s="2138"/>
      <c r="AB65" s="2138"/>
      <c r="AC65" s="2138"/>
    </row>
    <row r="66" spans="1:29" s="1342" customFormat="1" ht="13.2">
      <c r="A66" s="637" t="s">
        <v>571</v>
      </c>
      <c r="B66" s="638">
        <f t="shared" si="17"/>
        <v>0</v>
      </c>
      <c r="C66" s="378">
        <f t="shared" si="16"/>
        <v>0</v>
      </c>
      <c r="D66" s="2212">
        <v>0.25</v>
      </c>
      <c r="E66" s="641">
        <f>'数据-汇总表'!E14</f>
        <v>0</v>
      </c>
      <c r="F66" s="636">
        <f t="shared" si="15"/>
        <v>0</v>
      </c>
      <c r="G66" s="1928" t="s">
        <v>2279</v>
      </c>
      <c r="H66" s="1931">
        <f>项目基本情况!B43</f>
        <v>0</v>
      </c>
      <c r="I66" s="1542">
        <f>SUMIF(修正!$A$45:$A$56,H66,修正!H45:H56)</f>
        <v>0</v>
      </c>
      <c r="J66" s="1544"/>
      <c r="K66" s="2138"/>
      <c r="L66" s="2138"/>
      <c r="M66" s="2138"/>
      <c r="N66" s="2138"/>
      <c r="O66" s="2138"/>
      <c r="P66" s="2138"/>
      <c r="Q66" s="2138"/>
      <c r="R66" s="2138"/>
      <c r="S66" s="2138"/>
      <c r="T66" s="2138"/>
      <c r="U66" s="2138"/>
      <c r="V66" s="2138"/>
      <c r="W66" s="2138"/>
      <c r="X66" s="2138"/>
      <c r="Y66" s="2138"/>
      <c r="Z66" s="2138"/>
      <c r="AA66" s="2138"/>
      <c r="AB66" s="2138"/>
      <c r="AC66" s="2138"/>
    </row>
    <row r="67" spans="1:29" s="1342" customFormat="1" thickBot="1">
      <c r="A67" s="637" t="s">
        <v>572</v>
      </c>
      <c r="B67" s="638">
        <f t="shared" si="17"/>
        <v>0</v>
      </c>
      <c r="C67" s="378">
        <f t="shared" si="16"/>
        <v>0</v>
      </c>
      <c r="D67" s="2212">
        <v>0.25</v>
      </c>
      <c r="E67" s="641">
        <f>'数据-汇总表'!E15</f>
        <v>0</v>
      </c>
      <c r="F67" s="636">
        <f t="shared" si="15"/>
        <v>0</v>
      </c>
      <c r="G67" s="1930" t="s">
        <v>2280</v>
      </c>
      <c r="H67" s="1932">
        <f>项目基本情况!C43</f>
        <v>0</v>
      </c>
      <c r="I67" s="1542">
        <f>SUMIF(修正!$A$45:$A$56,H67,修正!H45:H56)</f>
        <v>0</v>
      </c>
      <c r="J67" s="1544"/>
      <c r="K67" s="2138"/>
      <c r="L67" s="2138"/>
      <c r="M67" s="2138"/>
      <c r="N67" s="2138"/>
      <c r="O67" s="2138"/>
      <c r="P67" s="2138"/>
      <c r="Q67" s="2138"/>
      <c r="R67" s="2138"/>
      <c r="S67" s="2138"/>
      <c r="T67" s="2138"/>
      <c r="U67" s="2138"/>
      <c r="V67" s="2138"/>
      <c r="W67" s="2138"/>
      <c r="X67" s="2138"/>
      <c r="Y67" s="2138"/>
      <c r="Z67" s="2138"/>
      <c r="AA67" s="2138"/>
      <c r="AB67" s="2138"/>
      <c r="AC67" s="2138"/>
    </row>
    <row r="68" spans="1:29" s="1342" customFormat="1" thickBot="1">
      <c r="A68" s="642" t="s">
        <v>573</v>
      </c>
      <c r="B68" s="643" t="s">
        <v>17</v>
      </c>
      <c r="C68" s="643" t="s">
        <v>18</v>
      </c>
      <c r="D68" s="643" t="s">
        <v>2291</v>
      </c>
      <c r="E68" s="643">
        <f>IF(B48="楼面地价",SUM(E58:E67),'数据-汇总表'!D3)</f>
        <v>155538.48000000001</v>
      </c>
      <c r="F68" s="644">
        <f>IF(B48="楼面地价",SUM(F58:F67),ROUND(C50*E68/10000,0))</f>
        <v>16601</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2020-2-1</v>
      </c>
      <c r="D70" s="2752">
        <f>EDATE(C70,-3)</f>
        <v>43770</v>
      </c>
      <c r="E70" s="2752">
        <f t="shared" ref="E70:N70" si="18">EDATE(D70,-3)</f>
        <v>43678</v>
      </c>
      <c r="F70" s="2752">
        <f t="shared" si="18"/>
        <v>43586</v>
      </c>
      <c r="G70" s="2752">
        <f t="shared" si="18"/>
        <v>43497</v>
      </c>
      <c r="H70" s="2752">
        <f t="shared" si="18"/>
        <v>43405</v>
      </c>
      <c r="I70" s="2752">
        <f t="shared" si="18"/>
        <v>43313</v>
      </c>
      <c r="J70" s="2752">
        <f t="shared" si="18"/>
        <v>43221</v>
      </c>
      <c r="K70" s="2752">
        <f t="shared" si="18"/>
        <v>43132</v>
      </c>
      <c r="L70" s="2752">
        <f t="shared" si="18"/>
        <v>43040</v>
      </c>
      <c r="M70" s="2752">
        <f t="shared" si="18"/>
        <v>42948</v>
      </c>
      <c r="N70" s="2752">
        <f t="shared" si="18"/>
        <v>42856</v>
      </c>
      <c r="O70" s="2128"/>
      <c r="P70" s="2128"/>
      <c r="Q70" s="2128"/>
      <c r="R70" s="2128"/>
      <c r="S70" s="2128"/>
      <c r="T70" s="2128"/>
      <c r="U70" s="2128"/>
      <c r="V70" s="2128"/>
      <c r="W70" s="2128"/>
      <c r="X70" s="2128"/>
      <c r="Y70" s="2128"/>
      <c r="Z70" s="2128"/>
      <c r="AA70" s="2128"/>
      <c r="AB70" s="2128"/>
      <c r="AC70" s="2128"/>
    </row>
    <row r="71" spans="1:29" ht="22.2" thickBot="1">
      <c r="A71" s="1570" t="s">
        <v>574</v>
      </c>
      <c r="B71" s="1545"/>
      <c r="C71" s="1569"/>
      <c r="D71" s="1569"/>
      <c r="E71" s="1569"/>
      <c r="F71" s="1571"/>
      <c r="G71" s="1571"/>
      <c r="H71" s="1569"/>
      <c r="I71" s="1569"/>
      <c r="J71" s="1569"/>
      <c r="K71" s="1572"/>
      <c r="L71" s="1568"/>
      <c r="M71" s="1569"/>
      <c r="N71" s="1569"/>
      <c r="O71" s="2140"/>
      <c r="P71" s="2140"/>
      <c r="Q71" s="2141"/>
      <c r="R71" s="2128"/>
      <c r="S71" s="2128"/>
      <c r="T71" s="2128"/>
      <c r="U71" s="2128"/>
      <c r="V71" s="2128"/>
      <c r="W71" s="2128"/>
      <c r="X71" s="2128"/>
      <c r="Y71" s="2128"/>
      <c r="Z71" s="2128"/>
      <c r="AA71" s="2128"/>
      <c r="AB71" s="2128"/>
      <c r="AC71" s="2128"/>
    </row>
    <row r="72" spans="1:29" s="1343" customFormat="1" ht="14.4">
      <c r="A72" s="2530" t="s">
        <v>2529</v>
      </c>
      <c r="B72" s="2531"/>
      <c r="C72" s="2748" t="str">
        <f>YEAR(C70)&amp;"-"&amp;ROUNDUP(MONTH(C70)/3,0)</f>
        <v>2020-1</v>
      </c>
      <c r="D72" s="2754" t="str">
        <f>YEAR(D70)&amp;"-"&amp;ROUNDUP(MONTH(D70)/3,0)</f>
        <v>2019-4</v>
      </c>
      <c r="E72" s="2754" t="str">
        <f t="shared" ref="E72:N72" si="19">YEAR(E70)&amp;"-"&amp;ROUNDUP(MONTH(E70)/3,0)</f>
        <v>2019-3</v>
      </c>
      <c r="F72" s="2754" t="str">
        <f t="shared" si="19"/>
        <v>2019-2</v>
      </c>
      <c r="G72" s="2754" t="str">
        <f t="shared" si="19"/>
        <v>2019-1</v>
      </c>
      <c r="H72" s="2754" t="str">
        <f t="shared" si="19"/>
        <v>2018-4</v>
      </c>
      <c r="I72" s="2754" t="str">
        <f t="shared" si="19"/>
        <v>2018-3</v>
      </c>
      <c r="J72" s="2754" t="str">
        <f t="shared" si="19"/>
        <v>2018-2</v>
      </c>
      <c r="K72" s="2754" t="str">
        <f t="shared" si="19"/>
        <v>2018-1</v>
      </c>
      <c r="L72" s="2754" t="str">
        <f t="shared" si="19"/>
        <v>2017-4</v>
      </c>
      <c r="M72" s="2754" t="str">
        <f t="shared" si="19"/>
        <v>2017-3</v>
      </c>
      <c r="N72" s="2754" t="str">
        <f t="shared" si="19"/>
        <v>2017-2</v>
      </c>
      <c r="O72" s="2142"/>
      <c r="P72" s="2143"/>
      <c r="Q72" s="2144"/>
      <c r="R72" s="2144"/>
      <c r="S72" s="2144"/>
      <c r="T72" s="2144"/>
      <c r="U72" s="2144"/>
      <c r="V72" s="2144"/>
      <c r="W72" s="2144"/>
      <c r="X72" s="2144"/>
      <c r="Y72" s="2144"/>
      <c r="Z72" s="2144"/>
      <c r="AA72" s="2144"/>
      <c r="AB72" s="2144"/>
      <c r="AC72" s="2144"/>
    </row>
    <row r="73" spans="1:29" s="1216" customFormat="1" ht="27" customHeight="1">
      <c r="A73" s="2759" t="s">
        <v>2643</v>
      </c>
      <c r="B73" s="479" t="str">
        <f>"北京市平均增长率"&amp;TEXT(SUMIF(基准地价!N21:N25,A73,基准地价!P21:P25),"0.00%")</f>
        <v>北京市平均增长率1.90%</v>
      </c>
      <c r="C73" s="894">
        <v>100</v>
      </c>
      <c r="D73" s="730">
        <v>99</v>
      </c>
      <c r="E73" s="730">
        <v>98</v>
      </c>
      <c r="F73" s="730">
        <v>97</v>
      </c>
      <c r="G73" s="730"/>
      <c r="H73" s="730"/>
      <c r="I73" s="730"/>
      <c r="J73" s="730"/>
      <c r="K73" s="730"/>
      <c r="L73" s="730"/>
      <c r="M73" s="2746"/>
      <c r="N73" s="2747"/>
      <c r="O73" s="2145"/>
      <c r="P73" s="2141"/>
      <c r="Q73" s="1976"/>
      <c r="R73" s="1976"/>
      <c r="S73" s="1976"/>
      <c r="T73" s="1976"/>
      <c r="U73" s="1976"/>
      <c r="V73" s="1976"/>
      <c r="W73" s="1976"/>
      <c r="X73" s="1976"/>
      <c r="Y73" s="1976"/>
      <c r="Z73" s="1976"/>
      <c r="AA73" s="1976"/>
      <c r="AB73" s="1976"/>
      <c r="AC73" s="1976"/>
    </row>
    <row r="74" spans="1:29" s="1216" customFormat="1" ht="15" customHeight="1" thickBot="1">
      <c r="A74" s="2750" t="s">
        <v>2642</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6" customFormat="1" ht="14.4">
      <c r="A75" s="659" t="s">
        <v>531</v>
      </c>
      <c r="B75" s="648"/>
      <c r="C75" s="660" t="s">
        <v>576</v>
      </c>
      <c r="D75" s="661"/>
      <c r="E75" s="661"/>
      <c r="F75" s="661"/>
      <c r="G75" s="661"/>
      <c r="H75" s="661"/>
      <c r="I75" s="661"/>
      <c r="J75" s="661"/>
      <c r="K75" s="661"/>
      <c r="L75" s="662"/>
      <c r="M75" s="663"/>
      <c r="N75" s="2145"/>
      <c r="O75" s="2145"/>
      <c r="P75" s="2146"/>
      <c r="Q75" s="2141"/>
      <c r="R75" s="1976"/>
      <c r="S75" s="1976"/>
      <c r="T75" s="1976"/>
      <c r="U75" s="1976"/>
      <c r="V75" s="1976"/>
      <c r="W75" s="1976"/>
      <c r="X75" s="1976"/>
      <c r="Y75" s="1976"/>
      <c r="Z75" s="1976"/>
      <c r="AA75" s="1976"/>
      <c r="AB75" s="1976"/>
      <c r="AC75" s="1976"/>
    </row>
    <row r="76" spans="1:29" s="1216" customFormat="1" ht="14.4" thickBot="1">
      <c r="A76" s="659"/>
      <c r="B76" s="648"/>
      <c r="C76" s="649">
        <v>100</v>
      </c>
      <c r="D76" s="650"/>
      <c r="E76" s="650"/>
      <c r="F76" s="650"/>
      <c r="G76" s="650"/>
      <c r="H76" s="650"/>
      <c r="I76" s="650"/>
      <c r="J76" s="650"/>
      <c r="K76" s="650"/>
      <c r="L76" s="650"/>
      <c r="M76" s="652"/>
      <c r="N76" s="2145"/>
      <c r="O76" s="2145"/>
      <c r="P76" s="2141"/>
      <c r="Q76" s="2141"/>
      <c r="R76" s="1976"/>
      <c r="S76" s="1976"/>
      <c r="T76" s="1976"/>
      <c r="U76" s="1976"/>
      <c r="V76" s="1976"/>
      <c r="W76" s="1976"/>
      <c r="X76" s="1976"/>
      <c r="Y76" s="1976"/>
      <c r="Z76" s="1976"/>
      <c r="AA76" s="1976"/>
      <c r="AB76" s="1976"/>
      <c r="AC76" s="1976"/>
    </row>
    <row r="77" spans="1:29" ht="14.4">
      <c r="A77" s="664" t="s">
        <v>577</v>
      </c>
      <c r="B77" s="665" t="s">
        <v>534</v>
      </c>
      <c r="C77" s="3181" t="s">
        <v>3116</v>
      </c>
      <c r="D77" s="598"/>
      <c r="E77" s="598"/>
      <c r="F77" s="598"/>
      <c r="G77" s="598"/>
      <c r="H77" s="598"/>
      <c r="I77" s="598"/>
      <c r="J77" s="598"/>
      <c r="K77" s="666"/>
      <c r="L77" s="667"/>
      <c r="M77" s="668"/>
      <c r="N77" s="2147"/>
      <c r="O77" s="2147"/>
      <c r="P77" s="2148"/>
      <c r="Q77" s="2141"/>
      <c r="R77" s="2128"/>
      <c r="S77" s="2128"/>
      <c r="T77" s="2128"/>
      <c r="U77" s="2128"/>
      <c r="V77" s="2128"/>
      <c r="W77" s="2128"/>
      <c r="X77" s="2128"/>
      <c r="Y77" s="2128"/>
      <c r="Z77" s="2128"/>
      <c r="AA77" s="2128"/>
      <c r="AB77" s="2128"/>
      <c r="AC77" s="2128"/>
    </row>
    <row r="78" spans="1:29" ht="14.4" thickBot="1">
      <c r="A78" s="669"/>
      <c r="B78" s="670"/>
      <c r="C78" s="671">
        <v>100</v>
      </c>
      <c r="D78" s="671"/>
      <c r="E78" s="671"/>
      <c r="F78" s="671"/>
      <c r="G78" s="671"/>
      <c r="H78" s="671"/>
      <c r="I78" s="671"/>
      <c r="J78" s="671"/>
      <c r="K78" s="671"/>
      <c r="L78" s="671"/>
      <c r="M78" s="672"/>
      <c r="N78" s="2149"/>
      <c r="O78" s="2149"/>
      <c r="P78" s="2148"/>
      <c r="Q78" s="2141"/>
      <c r="R78" s="2128"/>
      <c r="S78" s="2128"/>
      <c r="T78" s="2128"/>
      <c r="U78" s="2128"/>
      <c r="V78" s="2128"/>
      <c r="W78" s="2128"/>
      <c r="X78" s="2128"/>
      <c r="Y78" s="2128"/>
      <c r="Z78" s="2128"/>
      <c r="AA78" s="2128"/>
      <c r="AB78" s="2128"/>
      <c r="AC78" s="2128"/>
    </row>
    <row r="79" spans="1:29" ht="29.4" thickTop="1">
      <c r="A79" s="669"/>
      <c r="B79" s="673" t="s">
        <v>537</v>
      </c>
      <c r="C79" s="674"/>
      <c r="D79" s="674"/>
      <c r="E79" s="674"/>
      <c r="F79" s="674"/>
      <c r="G79" s="674"/>
      <c r="H79" s="674"/>
      <c r="I79" s="674"/>
      <c r="J79" s="674"/>
      <c r="K79" s="675"/>
      <c r="L79" s="676"/>
      <c r="M79" s="677"/>
      <c r="N79" s="2147"/>
      <c r="O79" s="2147"/>
      <c r="P79" s="2148"/>
      <c r="Q79" s="2141"/>
      <c r="R79" s="2128"/>
      <c r="S79" s="2128"/>
      <c r="T79" s="2128"/>
      <c r="U79" s="2128"/>
      <c r="V79" s="2128"/>
      <c r="W79" s="2128"/>
      <c r="X79" s="2128"/>
      <c r="Y79" s="2128"/>
      <c r="Z79" s="2128"/>
      <c r="AA79" s="2128"/>
      <c r="AB79" s="2128"/>
      <c r="AC79" s="2128"/>
    </row>
    <row r="80" spans="1:29" ht="14.4" thickBot="1">
      <c r="A80" s="669"/>
      <c r="B80" s="678"/>
      <c r="C80" s="679"/>
      <c r="D80" s="679"/>
      <c r="E80" s="679"/>
      <c r="F80" s="679"/>
      <c r="G80" s="679"/>
      <c r="H80" s="679"/>
      <c r="I80" s="679"/>
      <c r="J80" s="679"/>
      <c r="K80" s="679"/>
      <c r="L80" s="679"/>
      <c r="M80" s="680"/>
      <c r="N80" s="2149"/>
      <c r="O80" s="2149"/>
      <c r="P80" s="2148"/>
      <c r="Q80" s="2141"/>
      <c r="R80" s="2128"/>
      <c r="S80" s="2128"/>
      <c r="T80" s="2128"/>
      <c r="U80" s="2128"/>
      <c r="V80" s="2128"/>
      <c r="W80" s="2128"/>
      <c r="X80" s="2128"/>
      <c r="Y80" s="2128"/>
      <c r="Z80" s="2128"/>
      <c r="AA80" s="2128"/>
      <c r="AB80" s="2128"/>
      <c r="AC80" s="2128"/>
    </row>
    <row r="81" spans="1:29" ht="1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49"/>
      <c r="O81" s="2149"/>
      <c r="P81" s="2148"/>
      <c r="Q81" s="2141"/>
      <c r="R81" s="2128"/>
      <c r="S81" s="2128"/>
      <c r="T81" s="2128"/>
      <c r="U81" s="2128"/>
      <c r="V81" s="2128"/>
      <c r="W81" s="2128"/>
      <c r="X81" s="2128"/>
      <c r="Y81" s="2128"/>
      <c r="Z81" s="2128"/>
      <c r="AA81" s="2128"/>
      <c r="AB81" s="2128"/>
      <c r="AC81" s="2128"/>
    </row>
    <row r="82" spans="1:29">
      <c r="A82" s="669"/>
      <c r="B82" s="683"/>
      <c r="C82" s="541">
        <v>0</v>
      </c>
      <c r="D82" s="541">
        <v>1</v>
      </c>
      <c r="E82" s="541">
        <v>2</v>
      </c>
      <c r="F82" s="541">
        <v>3</v>
      </c>
      <c r="G82" s="541">
        <v>4</v>
      </c>
      <c r="H82" s="541"/>
      <c r="I82" s="541"/>
      <c r="J82" s="541"/>
      <c r="K82" s="684"/>
      <c r="L82" s="685"/>
      <c r="M82" s="686"/>
      <c r="N82" s="2147"/>
      <c r="O82" s="2147"/>
      <c r="P82" s="2148"/>
      <c r="Q82" s="2141"/>
      <c r="R82" s="2128"/>
      <c r="S82" s="2128"/>
      <c r="T82" s="2128"/>
      <c r="U82" s="2128"/>
      <c r="V82" s="2128"/>
      <c r="W82" s="2128"/>
      <c r="X82" s="2128"/>
      <c r="Y82" s="2128"/>
      <c r="Z82" s="2128"/>
      <c r="AA82" s="2128"/>
      <c r="AB82" s="2128"/>
      <c r="AC82" s="2128"/>
    </row>
    <row r="83" spans="1:29" ht="14.4"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49"/>
      <c r="O83" s="2149"/>
      <c r="P83" s="2148"/>
      <c r="Q83" s="2141"/>
      <c r="R83" s="2128"/>
      <c r="S83" s="2128"/>
      <c r="T83" s="2128"/>
      <c r="U83" s="2128"/>
      <c r="V83" s="2128"/>
      <c r="W83" s="2128"/>
      <c r="X83" s="2128"/>
      <c r="Y83" s="2128"/>
      <c r="Z83" s="2128"/>
      <c r="AA83" s="2128"/>
      <c r="AB83" s="2128"/>
      <c r="AC83" s="2128"/>
    </row>
    <row r="84" spans="1:29" s="1335" customFormat="1" ht="15" thickTop="1">
      <c r="A84" s="687"/>
      <c r="B84" s="673" t="str">
        <f>B14</f>
        <v>配建</v>
      </c>
      <c r="C84" s="688"/>
      <c r="D84" s="1371"/>
      <c r="E84" s="1372"/>
      <c r="F84" s="688"/>
      <c r="G84" s="688"/>
      <c r="H84" s="689"/>
      <c r="I84" s="689"/>
      <c r="J84" s="689"/>
      <c r="K84" s="689"/>
      <c r="L84" s="690"/>
      <c r="M84" s="691"/>
      <c r="N84" s="2150"/>
      <c r="O84" s="2150"/>
      <c r="P84" s="2151"/>
      <c r="Q84" s="2152"/>
      <c r="R84" s="2153"/>
      <c r="S84" s="2153"/>
      <c r="T84" s="2153"/>
      <c r="U84" s="2153"/>
      <c r="V84" s="2153"/>
      <c r="W84" s="2153"/>
      <c r="X84" s="2153"/>
      <c r="Y84" s="2153"/>
      <c r="Z84" s="2153"/>
      <c r="AA84" s="2153"/>
      <c r="AB84" s="2153"/>
      <c r="AC84" s="2153"/>
    </row>
    <row r="85" spans="1:29" s="1335" customFormat="1" ht="14.4" thickBot="1">
      <c r="A85" s="687"/>
      <c r="B85" s="678"/>
      <c r="C85" s="692"/>
      <c r="D85" s="671"/>
      <c r="E85" s="671"/>
      <c r="F85" s="671"/>
      <c r="G85" s="671"/>
      <c r="H85" s="671"/>
      <c r="I85" s="671"/>
      <c r="J85" s="671"/>
      <c r="K85" s="671"/>
      <c r="L85" s="671"/>
      <c r="M85" s="672"/>
      <c r="N85" s="2149"/>
      <c r="O85" s="2149"/>
      <c r="P85" s="2151"/>
      <c r="Q85" s="2152"/>
      <c r="R85" s="2153"/>
      <c r="S85" s="2153"/>
      <c r="T85" s="2153"/>
      <c r="U85" s="2153"/>
      <c r="V85" s="2153"/>
      <c r="W85" s="2153"/>
      <c r="X85" s="2153"/>
      <c r="Y85" s="2153"/>
      <c r="Z85" s="2153"/>
      <c r="AA85" s="2153"/>
      <c r="AB85" s="2153"/>
      <c r="AC85" s="2153"/>
    </row>
    <row r="86" spans="1:29" s="1335" customFormat="1" ht="14.4" thickTop="1">
      <c r="A86" s="687"/>
      <c r="B86" s="673">
        <f>B15</f>
        <v>111</v>
      </c>
      <c r="C86" s="688"/>
      <c r="D86" s="688"/>
      <c r="E86" s="688"/>
      <c r="F86" s="688"/>
      <c r="G86" s="688"/>
      <c r="H86" s="689"/>
      <c r="I86" s="689"/>
      <c r="J86" s="689"/>
      <c r="K86" s="689"/>
      <c r="L86" s="690"/>
      <c r="M86" s="691"/>
      <c r="N86" s="2150"/>
      <c r="O86" s="2150"/>
      <c r="P86" s="2154"/>
      <c r="Q86" s="2155"/>
      <c r="R86" s="2153"/>
      <c r="S86" s="2153"/>
      <c r="T86" s="2153"/>
      <c r="U86" s="2153"/>
      <c r="V86" s="2153"/>
      <c r="W86" s="2153"/>
      <c r="X86" s="2153"/>
      <c r="Y86" s="2153"/>
      <c r="Z86" s="2153"/>
      <c r="AA86" s="2153"/>
      <c r="AB86" s="2153"/>
      <c r="AC86" s="2153"/>
    </row>
    <row r="87" spans="1:29" s="1335" customFormat="1" ht="14.4" thickBot="1">
      <c r="A87" s="687"/>
      <c r="B87" s="678"/>
      <c r="C87" s="692"/>
      <c r="D87" s="692"/>
      <c r="E87" s="692"/>
      <c r="F87" s="692"/>
      <c r="G87" s="692"/>
      <c r="H87" s="693"/>
      <c r="I87" s="693"/>
      <c r="J87" s="693"/>
      <c r="K87" s="693"/>
      <c r="L87" s="693"/>
      <c r="M87" s="694"/>
      <c r="N87" s="2150"/>
      <c r="O87" s="2150"/>
      <c r="P87" s="2151"/>
      <c r="Q87" s="2152"/>
      <c r="R87" s="2153"/>
      <c r="S87" s="2153"/>
      <c r="T87" s="2153"/>
      <c r="U87" s="2153"/>
      <c r="V87" s="2153"/>
      <c r="W87" s="2153"/>
      <c r="X87" s="2153"/>
      <c r="Y87" s="2153"/>
      <c r="Z87" s="2153"/>
      <c r="AA87" s="2153"/>
      <c r="AB87" s="2153"/>
      <c r="AC87" s="2153"/>
    </row>
    <row r="88" spans="1:29" s="1335" customFormat="1" ht="14.4" thickTop="1">
      <c r="A88" s="687"/>
      <c r="B88" s="681">
        <f>B16</f>
        <v>111</v>
      </c>
      <c r="C88" s="661"/>
      <c r="D88" s="661"/>
      <c r="E88" s="661"/>
      <c r="F88" s="661"/>
      <c r="G88" s="661"/>
      <c r="H88" s="695"/>
      <c r="I88" s="695"/>
      <c r="J88" s="695"/>
      <c r="K88" s="695"/>
      <c r="L88" s="696"/>
      <c r="M88" s="697"/>
      <c r="N88" s="2150"/>
      <c r="O88" s="2150"/>
      <c r="P88" s="2156"/>
      <c r="Q88" s="2152"/>
      <c r="R88" s="2153"/>
      <c r="S88" s="2153"/>
      <c r="T88" s="2153"/>
      <c r="U88" s="2153"/>
      <c r="V88" s="2153"/>
      <c r="W88" s="2153"/>
      <c r="X88" s="2153"/>
      <c r="Y88" s="2153"/>
      <c r="Z88" s="2153"/>
      <c r="AA88" s="2153"/>
      <c r="AB88" s="2153"/>
      <c r="AC88" s="2153"/>
    </row>
    <row r="89" spans="1:29" s="1335" customFormat="1" ht="14.4" thickBot="1">
      <c r="A89" s="698"/>
      <c r="B89" s="699"/>
      <c r="C89" s="700"/>
      <c r="D89" s="700"/>
      <c r="E89" s="700"/>
      <c r="F89" s="700"/>
      <c r="G89" s="700"/>
      <c r="H89" s="701"/>
      <c r="I89" s="701"/>
      <c r="J89" s="701"/>
      <c r="K89" s="701"/>
      <c r="L89" s="701"/>
      <c r="M89" s="702"/>
      <c r="N89" s="2150"/>
      <c r="O89" s="2150"/>
      <c r="P89" s="2151"/>
      <c r="Q89" s="2152"/>
      <c r="R89" s="2153"/>
      <c r="S89" s="2153"/>
      <c r="T89" s="2153"/>
      <c r="U89" s="2153"/>
      <c r="V89" s="2153"/>
      <c r="W89" s="2153"/>
      <c r="X89" s="2153"/>
      <c r="Y89" s="2153"/>
      <c r="Z89" s="2153"/>
      <c r="AA89" s="2153"/>
      <c r="AB89" s="2153"/>
      <c r="AC89" s="2153"/>
    </row>
    <row r="90" spans="1:29" ht="14.4">
      <c r="A90" s="664" t="s">
        <v>539</v>
      </c>
      <c r="B90" s="665" t="s">
        <v>578</v>
      </c>
      <c r="C90" s="703" t="s">
        <v>579</v>
      </c>
      <c r="D90" s="703" t="s">
        <v>580</v>
      </c>
      <c r="E90" s="703" t="s">
        <v>581</v>
      </c>
      <c r="F90" s="703" t="s">
        <v>582</v>
      </c>
      <c r="G90" s="703" t="s">
        <v>583</v>
      </c>
      <c r="H90" s="704"/>
      <c r="I90" s="704"/>
      <c r="J90" s="704"/>
      <c r="K90" s="705"/>
      <c r="L90" s="706"/>
      <c r="M90" s="707"/>
      <c r="N90" s="2147"/>
      <c r="O90" s="2147"/>
      <c r="P90" s="2157"/>
      <c r="Q90" s="2141"/>
      <c r="R90" s="2128"/>
      <c r="S90" s="2128"/>
      <c r="T90" s="2128"/>
      <c r="U90" s="2128"/>
      <c r="V90" s="2128"/>
      <c r="W90" s="2128"/>
      <c r="X90" s="2128"/>
      <c r="Y90" s="2128"/>
      <c r="Z90" s="2128"/>
      <c r="AA90" s="2128"/>
      <c r="AB90" s="2128"/>
      <c r="AC90" s="2128"/>
    </row>
    <row r="91" spans="1:29" ht="14.4" thickBot="1">
      <c r="A91" s="669"/>
      <c r="B91" s="678"/>
      <c r="C91" s="679">
        <v>100</v>
      </c>
      <c r="D91" s="679">
        <f>C91-$K17</f>
        <v>98</v>
      </c>
      <c r="E91" s="679">
        <f>D91-$K17</f>
        <v>96</v>
      </c>
      <c r="F91" s="679">
        <f>E91-$K17</f>
        <v>94</v>
      </c>
      <c r="G91" s="679">
        <f>F91-$K17</f>
        <v>92</v>
      </c>
      <c r="H91" s="679"/>
      <c r="I91" s="679"/>
      <c r="J91" s="679"/>
      <c r="K91" s="679"/>
      <c r="L91" s="679"/>
      <c r="M91" s="680"/>
      <c r="N91" s="2149"/>
      <c r="O91" s="2149"/>
      <c r="P91" s="2148"/>
      <c r="Q91" s="2141"/>
      <c r="R91" s="2128"/>
      <c r="S91" s="2128"/>
      <c r="T91" s="2128"/>
      <c r="U91" s="2128"/>
      <c r="V91" s="2128"/>
      <c r="W91" s="2128"/>
      <c r="X91" s="2128"/>
      <c r="Y91" s="2128"/>
      <c r="Z91" s="2128"/>
      <c r="AA91" s="2128"/>
      <c r="AB91" s="2128"/>
      <c r="AC91" s="2128"/>
    </row>
    <row r="92" spans="1:29" ht="15" thickTop="1">
      <c r="A92" s="669"/>
      <c r="B92" s="673" t="s">
        <v>584</v>
      </c>
      <c r="C92" s="708" t="s">
        <v>579</v>
      </c>
      <c r="D92" s="708" t="s">
        <v>580</v>
      </c>
      <c r="E92" s="708" t="s">
        <v>581</v>
      </c>
      <c r="F92" s="708" t="s">
        <v>582</v>
      </c>
      <c r="G92" s="708" t="s">
        <v>583</v>
      </c>
      <c r="H92" s="674"/>
      <c r="I92" s="674"/>
      <c r="J92" s="674"/>
      <c r="K92" s="675"/>
      <c r="L92" s="676"/>
      <c r="M92" s="677"/>
      <c r="N92" s="2147"/>
      <c r="O92" s="2147"/>
      <c r="P92" s="2148"/>
      <c r="Q92" s="2141"/>
      <c r="R92" s="2128"/>
      <c r="S92" s="2128"/>
      <c r="T92" s="2128"/>
      <c r="U92" s="2128"/>
      <c r="V92" s="2128"/>
      <c r="W92" s="2128"/>
      <c r="X92" s="2128"/>
      <c r="Y92" s="2128"/>
      <c r="Z92" s="2128"/>
      <c r="AA92" s="2128"/>
      <c r="AB92" s="2128"/>
      <c r="AC92" s="2128"/>
    </row>
    <row r="93" spans="1:29" ht="14.4" thickBot="1">
      <c r="A93" s="669"/>
      <c r="B93" s="678"/>
      <c r="C93" s="679">
        <v>100</v>
      </c>
      <c r="D93" s="679">
        <f>C93-$K19</f>
        <v>98</v>
      </c>
      <c r="E93" s="679">
        <f>D93-$K19</f>
        <v>96</v>
      </c>
      <c r="F93" s="679">
        <f>E93-$K19</f>
        <v>94</v>
      </c>
      <c r="G93" s="679">
        <f>F93-$K19</f>
        <v>92</v>
      </c>
      <c r="H93" s="679"/>
      <c r="I93" s="679"/>
      <c r="J93" s="679"/>
      <c r="K93" s="679"/>
      <c r="L93" s="679"/>
      <c r="M93" s="680"/>
      <c r="N93" s="2149"/>
      <c r="O93" s="2149"/>
      <c r="P93" s="2148"/>
      <c r="Q93" s="2141"/>
      <c r="R93" s="2128"/>
      <c r="S93" s="2128"/>
      <c r="T93" s="2128"/>
      <c r="U93" s="2128"/>
      <c r="V93" s="2128"/>
      <c r="W93" s="2128"/>
      <c r="X93" s="2128"/>
      <c r="Y93" s="2128"/>
      <c r="Z93" s="2128"/>
      <c r="AA93" s="2128"/>
      <c r="AB93" s="2128"/>
      <c r="AC93" s="2128"/>
    </row>
    <row r="94" spans="1:29" ht="15" thickTop="1">
      <c r="A94" s="669"/>
      <c r="B94" s="673" t="s">
        <v>585</v>
      </c>
      <c r="C94" s="708" t="s">
        <v>579</v>
      </c>
      <c r="D94" s="708" t="s">
        <v>580</v>
      </c>
      <c r="E94" s="708" t="s">
        <v>581</v>
      </c>
      <c r="F94" s="708" t="s">
        <v>582</v>
      </c>
      <c r="G94" s="708" t="s">
        <v>583</v>
      </c>
      <c r="H94" s="674"/>
      <c r="I94" s="674"/>
      <c r="J94" s="674"/>
      <c r="K94" s="675"/>
      <c r="L94" s="676"/>
      <c r="M94" s="677"/>
      <c r="N94" s="2147"/>
      <c r="O94" s="2147"/>
      <c r="P94" s="2148"/>
      <c r="Q94" s="2141"/>
      <c r="R94" s="2128"/>
      <c r="S94" s="2128"/>
      <c r="T94" s="2128"/>
      <c r="U94" s="2128"/>
      <c r="V94" s="2128"/>
      <c r="W94" s="2128"/>
      <c r="X94" s="2128"/>
      <c r="Y94" s="2128"/>
      <c r="Z94" s="2128"/>
      <c r="AA94" s="2128"/>
      <c r="AB94" s="2128"/>
      <c r="AC94" s="2128"/>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49"/>
      <c r="O95" s="2149"/>
      <c r="P95" s="2148"/>
      <c r="Q95" s="2141"/>
      <c r="R95" s="2128"/>
      <c r="S95" s="2128"/>
      <c r="T95" s="2128"/>
      <c r="U95" s="2128"/>
      <c r="V95" s="2128"/>
      <c r="W95" s="2128"/>
      <c r="X95" s="2128"/>
      <c r="Y95" s="2128"/>
      <c r="Z95" s="2128"/>
      <c r="AA95" s="2128"/>
      <c r="AB95" s="2128"/>
      <c r="AC95" s="2128"/>
    </row>
    <row r="96" spans="1:29" ht="15" thickTop="1">
      <c r="A96" s="669"/>
      <c r="B96" s="673" t="s">
        <v>586</v>
      </c>
      <c r="C96" s="708" t="s">
        <v>579</v>
      </c>
      <c r="D96" s="708" t="s">
        <v>580</v>
      </c>
      <c r="E96" s="708" t="s">
        <v>581</v>
      </c>
      <c r="F96" s="708" t="s">
        <v>582</v>
      </c>
      <c r="G96" s="708" t="s">
        <v>583</v>
      </c>
      <c r="H96" s="674"/>
      <c r="I96" s="674"/>
      <c r="J96" s="674"/>
      <c r="K96" s="675"/>
      <c r="L96" s="676"/>
      <c r="M96" s="677"/>
      <c r="N96" s="2147"/>
      <c r="O96" s="2147"/>
      <c r="P96" s="2148"/>
      <c r="Q96" s="2141"/>
      <c r="R96" s="2128"/>
      <c r="S96" s="2128"/>
      <c r="T96" s="2128"/>
      <c r="U96" s="2128"/>
      <c r="V96" s="2128"/>
      <c r="W96" s="2128"/>
      <c r="X96" s="2128"/>
      <c r="Y96" s="2128"/>
      <c r="Z96" s="2128"/>
      <c r="AA96" s="2128"/>
      <c r="AB96" s="2128"/>
      <c r="AC96" s="2128"/>
    </row>
    <row r="97" spans="1:29" ht="14.4" thickBot="1">
      <c r="A97" s="669"/>
      <c r="B97" s="678"/>
      <c r="C97" s="679">
        <v>100</v>
      </c>
      <c r="D97" s="679">
        <f>C97-$K23</f>
        <v>98</v>
      </c>
      <c r="E97" s="679">
        <f>D97-$K23</f>
        <v>96</v>
      </c>
      <c r="F97" s="679">
        <f>E97-$K23</f>
        <v>94</v>
      </c>
      <c r="G97" s="679">
        <f>F97-$K23</f>
        <v>92</v>
      </c>
      <c r="H97" s="679"/>
      <c r="I97" s="679"/>
      <c r="J97" s="679"/>
      <c r="K97" s="679"/>
      <c r="L97" s="679"/>
      <c r="M97" s="680"/>
      <c r="N97" s="2149"/>
      <c r="O97" s="2149"/>
      <c r="P97" s="2148"/>
      <c r="Q97" s="2141"/>
      <c r="R97" s="2128"/>
      <c r="S97" s="2128"/>
      <c r="T97" s="2128"/>
      <c r="U97" s="2128"/>
      <c r="V97" s="2128"/>
      <c r="W97" s="2128"/>
      <c r="X97" s="2128"/>
      <c r="Y97" s="2128"/>
      <c r="Z97" s="2128"/>
      <c r="AA97" s="2128"/>
      <c r="AB97" s="2128"/>
      <c r="AC97" s="2128"/>
    </row>
    <row r="98" spans="1:29" s="1216" customFormat="1" ht="29.4" thickTop="1">
      <c r="A98" s="709"/>
      <c r="B98" s="673" t="s">
        <v>587</v>
      </c>
      <c r="C98" s="708" t="s">
        <v>579</v>
      </c>
      <c r="D98" s="708" t="s">
        <v>580</v>
      </c>
      <c r="E98" s="708" t="s">
        <v>581</v>
      </c>
      <c r="F98" s="708" t="s">
        <v>582</v>
      </c>
      <c r="G98" s="708" t="s">
        <v>583</v>
      </c>
      <c r="H98" s="708"/>
      <c r="I98" s="708"/>
      <c r="J98" s="708"/>
      <c r="K98" s="708"/>
      <c r="L98" s="710"/>
      <c r="M98" s="711"/>
      <c r="N98" s="2145"/>
      <c r="O98" s="2145"/>
      <c r="P98" s="2148"/>
      <c r="Q98" s="2141"/>
      <c r="R98" s="1976"/>
      <c r="S98" s="1976"/>
      <c r="T98" s="1976"/>
      <c r="U98" s="1976"/>
      <c r="V98" s="1976"/>
      <c r="W98" s="1976"/>
      <c r="X98" s="1976"/>
      <c r="Y98" s="1976"/>
      <c r="Z98" s="1976"/>
      <c r="AA98" s="1976"/>
      <c r="AB98" s="1976"/>
      <c r="AC98" s="1976"/>
    </row>
    <row r="99" spans="1:29" s="1216" customFormat="1" ht="14.4" thickBot="1">
      <c r="A99" s="709"/>
      <c r="B99" s="678"/>
      <c r="C99" s="712">
        <v>100</v>
      </c>
      <c r="D99" s="679">
        <f>C99-$K25</f>
        <v>98</v>
      </c>
      <c r="E99" s="679">
        <f>D99-$K25</f>
        <v>96</v>
      </c>
      <c r="F99" s="679">
        <f>E99-$K25</f>
        <v>94</v>
      </c>
      <c r="G99" s="679">
        <f>F99-$K25</f>
        <v>92</v>
      </c>
      <c r="H99" s="679"/>
      <c r="I99" s="679"/>
      <c r="J99" s="679"/>
      <c r="K99" s="679"/>
      <c r="L99" s="679"/>
      <c r="M99" s="680"/>
      <c r="N99" s="2149"/>
      <c r="O99" s="2149"/>
      <c r="P99" s="2148"/>
      <c r="Q99" s="2141"/>
      <c r="R99" s="1976"/>
      <c r="S99" s="1976"/>
      <c r="T99" s="1976"/>
      <c r="U99" s="1976"/>
      <c r="V99" s="1976"/>
      <c r="W99" s="1976"/>
      <c r="X99" s="1976"/>
      <c r="Y99" s="1976"/>
      <c r="Z99" s="1976"/>
      <c r="AA99" s="1976"/>
      <c r="AB99" s="1976"/>
      <c r="AC99" s="1976"/>
    </row>
    <row r="100" spans="1:29" s="1216" customFormat="1" ht="29.4" thickTop="1">
      <c r="A100" s="709"/>
      <c r="B100" s="673" t="s">
        <v>588</v>
      </c>
      <c r="C100" s="703" t="s">
        <v>579</v>
      </c>
      <c r="D100" s="703" t="s">
        <v>580</v>
      </c>
      <c r="E100" s="703" t="s">
        <v>581</v>
      </c>
      <c r="F100" s="703" t="s">
        <v>582</v>
      </c>
      <c r="G100" s="703" t="s">
        <v>583</v>
      </c>
      <c r="H100" s="708"/>
      <c r="I100" s="708"/>
      <c r="J100" s="708"/>
      <c r="K100" s="708"/>
      <c r="L100" s="708"/>
      <c r="M100" s="711"/>
      <c r="N100" s="2145"/>
      <c r="O100" s="2145"/>
      <c r="P100" s="2148"/>
      <c r="Q100" s="2141"/>
      <c r="R100" s="1976"/>
      <c r="S100" s="1976"/>
      <c r="T100" s="1976"/>
      <c r="U100" s="1976"/>
      <c r="V100" s="1976"/>
      <c r="W100" s="1976"/>
      <c r="X100" s="1976"/>
      <c r="Y100" s="1976"/>
      <c r="Z100" s="1976"/>
      <c r="AA100" s="1976"/>
      <c r="AB100" s="1976"/>
      <c r="AC100" s="1976"/>
    </row>
    <row r="101" spans="1:29" s="1216"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49"/>
      <c r="O101" s="2149"/>
      <c r="P101" s="2148"/>
      <c r="Q101" s="2141"/>
      <c r="R101" s="1976"/>
      <c r="S101" s="1976"/>
      <c r="T101" s="1976"/>
      <c r="U101" s="1976"/>
      <c r="V101" s="1976"/>
      <c r="W101" s="1976"/>
      <c r="X101" s="1976"/>
      <c r="Y101" s="1976"/>
      <c r="Z101" s="1976"/>
      <c r="AA101" s="1976"/>
      <c r="AB101" s="1976"/>
      <c r="AC101" s="1976"/>
    </row>
    <row r="102" spans="1:29" s="1335" customFormat="1" ht="15" thickTop="1">
      <c r="A102" s="687"/>
      <c r="B102" s="1879" t="s">
        <v>2545</v>
      </c>
      <c r="C102" s="703" t="s">
        <v>579</v>
      </c>
      <c r="D102" s="703" t="s">
        <v>580</v>
      </c>
      <c r="E102" s="703" t="s">
        <v>581</v>
      </c>
      <c r="F102" s="703" t="s">
        <v>582</v>
      </c>
      <c r="G102" s="703" t="s">
        <v>583</v>
      </c>
      <c r="H102" s="713"/>
      <c r="I102" s="713"/>
      <c r="J102" s="713"/>
      <c r="K102" s="713"/>
      <c r="L102" s="714"/>
      <c r="M102" s="715"/>
      <c r="N102" s="2150"/>
      <c r="O102" s="2150"/>
      <c r="P102" s="2151"/>
      <c r="Q102" s="2152"/>
      <c r="R102" s="2153"/>
      <c r="S102" s="2153"/>
      <c r="T102" s="2153"/>
      <c r="U102" s="2153"/>
      <c r="V102" s="2153"/>
      <c r="W102" s="2153"/>
      <c r="X102" s="2153"/>
      <c r="Y102" s="2153"/>
      <c r="Z102" s="2153"/>
      <c r="AA102" s="2153"/>
      <c r="AB102" s="2153"/>
      <c r="AC102" s="2153"/>
    </row>
    <row r="103" spans="1:29" s="1335"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50"/>
      <c r="O103" s="2150"/>
      <c r="P103" s="2151"/>
      <c r="Q103" s="2152"/>
      <c r="R103" s="2153"/>
      <c r="S103" s="2153"/>
      <c r="T103" s="2153"/>
      <c r="U103" s="2153"/>
      <c r="V103" s="2153"/>
      <c r="W103" s="2153"/>
      <c r="X103" s="2153"/>
      <c r="Y103" s="2153"/>
      <c r="Z103" s="2153"/>
      <c r="AA103" s="2153"/>
      <c r="AB103" s="2153"/>
      <c r="AC103" s="2153"/>
    </row>
    <row r="104" spans="1:29" s="1335" customFormat="1" ht="15" thickTop="1">
      <c r="A104" s="687"/>
      <c r="B104" s="2559" t="s">
        <v>2547</v>
      </c>
      <c r="C104" s="2560" t="s">
        <v>2548</v>
      </c>
      <c r="D104" s="2560" t="s">
        <v>2549</v>
      </c>
      <c r="E104" s="2560" t="s">
        <v>2550</v>
      </c>
      <c r="F104" s="2560" t="s">
        <v>2551</v>
      </c>
      <c r="G104" s="2560" t="s">
        <v>2552</v>
      </c>
      <c r="H104" s="713"/>
      <c r="I104" s="713"/>
      <c r="J104" s="713"/>
      <c r="K104" s="713"/>
      <c r="L104" s="713"/>
      <c r="M104" s="715"/>
      <c r="N104" s="2150"/>
      <c r="O104" s="2150"/>
      <c r="P104" s="2151"/>
      <c r="Q104" s="2152"/>
      <c r="R104" s="2153"/>
      <c r="S104" s="2153"/>
      <c r="T104" s="2153"/>
      <c r="U104" s="2153"/>
      <c r="V104" s="2153"/>
      <c r="W104" s="2153"/>
      <c r="X104" s="2153"/>
      <c r="Y104" s="2153"/>
      <c r="Z104" s="2153"/>
      <c r="AA104" s="2153"/>
      <c r="AB104" s="2153"/>
      <c r="AC104" s="2153"/>
    </row>
    <row r="105" spans="1:29" s="1335" customFormat="1" ht="14.4" thickBot="1">
      <c r="A105" s="687"/>
      <c r="B105" s="681"/>
      <c r="C105" s="679">
        <v>100</v>
      </c>
      <c r="D105" s="679">
        <f>C105-$K31</f>
        <v>98</v>
      </c>
      <c r="E105" s="679">
        <f>D105-$K31</f>
        <v>96</v>
      </c>
      <c r="F105" s="679">
        <f>E105-$K31</f>
        <v>94</v>
      </c>
      <c r="G105" s="679">
        <f>F105-$K31</f>
        <v>92</v>
      </c>
      <c r="H105" s="683"/>
      <c r="I105" s="683"/>
      <c r="J105" s="683"/>
      <c r="K105" s="683"/>
      <c r="L105" s="683"/>
      <c r="M105" s="2552"/>
      <c r="N105" s="2150"/>
      <c r="O105" s="2150"/>
      <c r="P105" s="2151"/>
      <c r="Q105" s="2152"/>
      <c r="R105" s="2153"/>
      <c r="S105" s="2153"/>
      <c r="T105" s="2153"/>
      <c r="U105" s="2153"/>
      <c r="V105" s="2153"/>
      <c r="W105" s="2153"/>
      <c r="X105" s="2153"/>
      <c r="Y105" s="2153"/>
      <c r="Z105" s="2153"/>
      <c r="AA105" s="2153"/>
      <c r="AB105" s="2153"/>
      <c r="AC105" s="2153"/>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47"/>
      <c r="O106" s="2147"/>
      <c r="P106" s="2148"/>
      <c r="Q106" s="2141"/>
      <c r="R106" s="2128"/>
      <c r="S106" s="2128"/>
      <c r="T106" s="2128"/>
      <c r="U106" s="2128"/>
      <c r="V106" s="2128"/>
      <c r="W106" s="2128"/>
      <c r="X106" s="2128"/>
      <c r="Y106" s="2128"/>
      <c r="Z106" s="2128"/>
      <c r="AA106" s="2128"/>
      <c r="AB106" s="2128"/>
      <c r="AC106" s="2128"/>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49"/>
      <c r="O107" s="2149"/>
      <c r="P107" s="2148"/>
      <c r="Q107" s="2141"/>
      <c r="R107" s="2128"/>
      <c r="S107" s="2128"/>
      <c r="T107" s="2128"/>
      <c r="U107" s="2128"/>
      <c r="V107" s="2128"/>
      <c r="W107" s="2128"/>
      <c r="X107" s="2128"/>
      <c r="Y107" s="2128"/>
      <c r="Z107" s="2128"/>
      <c r="AA107" s="2128"/>
      <c r="AB107" s="2128"/>
      <c r="AC107" s="2128"/>
    </row>
    <row r="108" spans="1:29" ht="29.4" thickTop="1">
      <c r="A108" s="669"/>
      <c r="B108" s="673" t="s">
        <v>548</v>
      </c>
      <c r="C108" s="3182" t="s">
        <v>3117</v>
      </c>
      <c r="D108" s="3182" t="s">
        <v>3118</v>
      </c>
      <c r="E108" s="3182" t="s">
        <v>3119</v>
      </c>
      <c r="F108" s="3182" t="s">
        <v>3121</v>
      </c>
      <c r="G108" s="3182" t="s">
        <v>3122</v>
      </c>
      <c r="H108" s="718"/>
      <c r="I108" s="718"/>
      <c r="J108" s="718"/>
      <c r="K108" s="719"/>
      <c r="L108" s="720"/>
      <c r="M108" s="721"/>
      <c r="N108" s="2147"/>
      <c r="O108" s="2147"/>
      <c r="P108" s="2148"/>
      <c r="Q108" s="2141"/>
      <c r="R108" s="2128"/>
      <c r="S108" s="2128"/>
      <c r="T108" s="2128"/>
      <c r="U108" s="2128"/>
      <c r="V108" s="2128"/>
      <c r="W108" s="2128"/>
      <c r="X108" s="2128"/>
      <c r="Y108" s="2128"/>
      <c r="Z108" s="2128"/>
      <c r="AA108" s="2128"/>
      <c r="AB108" s="2128"/>
      <c r="AC108" s="2128"/>
    </row>
    <row r="109" spans="1:29" ht="14.4"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49"/>
      <c r="O109" s="2149"/>
      <c r="P109" s="2148"/>
      <c r="Q109" s="2141"/>
      <c r="R109" s="2128"/>
      <c r="S109" s="2128"/>
      <c r="T109" s="2128"/>
      <c r="U109" s="2128"/>
      <c r="V109" s="2128"/>
      <c r="W109" s="2128"/>
      <c r="X109" s="2128"/>
      <c r="Y109" s="2128"/>
      <c r="Z109" s="2128"/>
      <c r="AA109" s="2128"/>
      <c r="AB109" s="2128"/>
      <c r="AC109" s="2128"/>
    </row>
    <row r="110" spans="1:29" ht="15" thickTop="1">
      <c r="A110" s="669"/>
      <c r="B110" s="673" t="s">
        <v>549</v>
      </c>
      <c r="C110" s="718"/>
      <c r="D110" s="718"/>
      <c r="E110" s="718"/>
      <c r="F110" s="718"/>
      <c r="G110" s="718"/>
      <c r="H110" s="718"/>
      <c r="I110" s="718"/>
      <c r="J110" s="718"/>
      <c r="K110" s="719"/>
      <c r="L110" s="720"/>
      <c r="M110" s="721"/>
      <c r="N110" s="2147"/>
      <c r="O110" s="2147"/>
      <c r="P110" s="2148"/>
      <c r="Q110" s="2141"/>
      <c r="R110" s="2128"/>
      <c r="S110" s="2128"/>
      <c r="T110" s="2128"/>
      <c r="U110" s="2128"/>
      <c r="V110" s="2128"/>
      <c r="W110" s="2128"/>
      <c r="X110" s="2128"/>
      <c r="Y110" s="2128"/>
      <c r="Z110" s="2128"/>
      <c r="AA110" s="2128"/>
      <c r="AB110" s="2128"/>
      <c r="AC110" s="2128"/>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49"/>
      <c r="O111" s="2149"/>
      <c r="P111" s="2148"/>
      <c r="Q111" s="2141"/>
      <c r="R111" s="2128"/>
      <c r="S111" s="2128"/>
      <c r="T111" s="2128"/>
      <c r="U111" s="2128"/>
      <c r="V111" s="2128"/>
      <c r="W111" s="2128"/>
      <c r="X111" s="2128"/>
      <c r="Y111" s="2128"/>
      <c r="Z111" s="2128"/>
      <c r="AA111" s="2128"/>
      <c r="AB111" s="2128"/>
      <c r="AC111" s="2128"/>
    </row>
    <row r="112" spans="1:29" ht="14.4" thickTop="1">
      <c r="A112" s="669"/>
      <c r="B112" s="681">
        <f>B37</f>
        <v>111</v>
      </c>
      <c r="C112" s="688"/>
      <c r="D112" s="688"/>
      <c r="E112" s="688"/>
      <c r="F112" s="688"/>
      <c r="G112" s="722"/>
      <c r="H112" s="722"/>
      <c r="I112" s="722"/>
      <c r="J112" s="722"/>
      <c r="K112" s="723"/>
      <c r="L112" s="724"/>
      <c r="M112" s="725"/>
      <c r="N112" s="2147"/>
      <c r="O112" s="2147"/>
      <c r="P112" s="2148"/>
      <c r="Q112" s="2141"/>
      <c r="R112" s="2128"/>
      <c r="S112" s="2128"/>
      <c r="T112" s="2128"/>
      <c r="U112" s="2128"/>
      <c r="V112" s="2128"/>
      <c r="W112" s="2128"/>
      <c r="X112" s="2128"/>
      <c r="Y112" s="2128"/>
      <c r="Z112" s="2128"/>
      <c r="AA112" s="2128"/>
      <c r="AB112" s="2128"/>
      <c r="AC112" s="2128"/>
    </row>
    <row r="113" spans="1:29" ht="14.4" thickBot="1">
      <c r="A113" s="669"/>
      <c r="B113" s="699"/>
      <c r="C113" s="692"/>
      <c r="D113" s="692"/>
      <c r="E113" s="692"/>
      <c r="F113" s="692"/>
      <c r="G113" s="726"/>
      <c r="H113" s="726"/>
      <c r="I113" s="726"/>
      <c r="J113" s="726"/>
      <c r="K113" s="726"/>
      <c r="L113" s="726"/>
      <c r="M113" s="727"/>
      <c r="N113" s="2149"/>
      <c r="O113" s="2149"/>
      <c r="P113" s="2148"/>
      <c r="Q113" s="2141"/>
      <c r="R113" s="2128"/>
      <c r="S113" s="2128"/>
      <c r="T113" s="2128"/>
      <c r="U113" s="2128"/>
      <c r="V113" s="2128"/>
      <c r="W113" s="2128"/>
      <c r="X113" s="2128"/>
      <c r="Y113" s="2128"/>
      <c r="Z113" s="2128"/>
      <c r="AA113" s="2128"/>
      <c r="AB113" s="2128"/>
      <c r="AC113" s="2128"/>
    </row>
    <row r="114" spans="1:29" ht="14.4" thickTop="1">
      <c r="A114" s="587"/>
      <c r="B114" s="673">
        <f>B38</f>
        <v>111</v>
      </c>
      <c r="C114" s="661"/>
      <c r="D114" s="661"/>
      <c r="E114" s="661"/>
      <c r="F114" s="661"/>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4.4" thickBot="1">
      <c r="A115" s="669"/>
      <c r="B115" s="678"/>
      <c r="C115" s="700"/>
      <c r="D115" s="700"/>
      <c r="E115" s="700"/>
      <c r="F115" s="700"/>
      <c r="G115" s="671"/>
      <c r="H115" s="671"/>
      <c r="I115" s="671"/>
      <c r="J115" s="671"/>
      <c r="K115" s="671"/>
      <c r="L115" s="671"/>
      <c r="M115" s="672"/>
      <c r="N115" s="2149"/>
      <c r="O115" s="2149"/>
      <c r="P115" s="2148"/>
      <c r="Q115" s="2141"/>
      <c r="R115" s="2128"/>
      <c r="S115" s="2128"/>
      <c r="T115" s="2128"/>
      <c r="U115" s="2128"/>
      <c r="V115" s="2128"/>
      <c r="W115" s="2128"/>
      <c r="X115" s="2128"/>
      <c r="Y115" s="2128"/>
      <c r="Z115" s="2128"/>
      <c r="AA115" s="2128"/>
      <c r="AB115" s="2128"/>
      <c r="AC115" s="2128"/>
    </row>
    <row r="116" spans="1:29" s="1335" customFormat="1" ht="14.4" thickTop="1">
      <c r="A116" s="728"/>
      <c r="B116" s="729">
        <f>B39</f>
        <v>111</v>
      </c>
      <c r="C116" s="730"/>
      <c r="D116" s="730"/>
      <c r="E116" s="730"/>
      <c r="F116" s="730"/>
      <c r="G116" s="730"/>
      <c r="H116" s="730"/>
      <c r="I116" s="730"/>
      <c r="J116" s="731"/>
      <c r="K116" s="731"/>
      <c r="L116" s="732"/>
      <c r="M116" s="733"/>
      <c r="N116" s="2150"/>
      <c r="O116" s="2150"/>
      <c r="P116" s="2151"/>
      <c r="Q116" s="2152"/>
      <c r="R116" s="2153"/>
      <c r="S116" s="2153"/>
      <c r="T116" s="2153"/>
      <c r="U116" s="2153"/>
      <c r="V116" s="2153"/>
      <c r="W116" s="2153"/>
      <c r="X116" s="2153"/>
      <c r="Y116" s="2153"/>
      <c r="Z116" s="2153"/>
      <c r="AA116" s="2153"/>
      <c r="AB116" s="2153"/>
      <c r="AC116" s="2153"/>
    </row>
    <row r="117" spans="1:29" s="1335" customFormat="1" ht="14.4" thickBot="1">
      <c r="A117" s="687"/>
      <c r="B117" s="681"/>
      <c r="C117" s="650"/>
      <c r="D117" s="592"/>
      <c r="E117" s="592"/>
      <c r="F117" s="592"/>
      <c r="G117" s="592"/>
      <c r="H117" s="592"/>
      <c r="I117" s="592"/>
      <c r="J117" s="592"/>
      <c r="K117" s="592"/>
      <c r="L117" s="592"/>
      <c r="M117" s="734"/>
      <c r="N117" s="2149"/>
      <c r="O117" s="2149"/>
      <c r="P117" s="2151"/>
      <c r="Q117" s="2152"/>
      <c r="R117" s="2153"/>
      <c r="S117" s="2153"/>
      <c r="T117" s="2153"/>
      <c r="U117" s="2153"/>
      <c r="V117" s="2153"/>
      <c r="W117" s="2153"/>
      <c r="X117" s="2153"/>
      <c r="Y117" s="2153"/>
      <c r="Z117" s="2153"/>
      <c r="AA117" s="2153"/>
      <c r="AB117" s="2153"/>
      <c r="AC117" s="2153"/>
    </row>
    <row r="118" spans="1:29" ht="27.6">
      <c r="A118" s="664" t="s">
        <v>551</v>
      </c>
      <c r="B118" s="665" t="s">
        <v>593</v>
      </c>
      <c r="C118" s="704" t="str">
        <f t="shared" ref="C118:L118" si="25">C119&amp;"(含)"&amp;"-"&amp;D119</f>
        <v>0(含)-10000</v>
      </c>
      <c r="D118" s="704" t="str">
        <f t="shared" si="25"/>
        <v>10000(含)-20000</v>
      </c>
      <c r="E118" s="704" t="str">
        <f t="shared" si="25"/>
        <v>20000(含)-30000</v>
      </c>
      <c r="F118" s="704" t="str">
        <f t="shared" si="25"/>
        <v>30000(含)-40000</v>
      </c>
      <c r="G118" s="704" t="str">
        <f t="shared" si="25"/>
        <v>40000(含)-</v>
      </c>
      <c r="H118" s="704" t="str">
        <f t="shared" si="25"/>
        <v>(含)-</v>
      </c>
      <c r="I118" s="704" t="str">
        <f t="shared" si="25"/>
        <v>(含)-</v>
      </c>
      <c r="J118" s="3039" t="str">
        <f t="shared" si="25"/>
        <v>(含)-</v>
      </c>
      <c r="K118" s="3039" t="str">
        <f t="shared" si="25"/>
        <v>(含)-</v>
      </c>
      <c r="L118" s="3040" t="str">
        <f t="shared" si="25"/>
        <v>(含)-</v>
      </c>
      <c r="M118" s="3041"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c r="A119" s="669"/>
      <c r="B119" s="681"/>
      <c r="C119" s="730">
        <v>0</v>
      </c>
      <c r="D119" s="730">
        <v>10000</v>
      </c>
      <c r="E119" s="730">
        <v>20000</v>
      </c>
      <c r="F119" s="730">
        <v>30000</v>
      </c>
      <c r="G119" s="730">
        <v>40000</v>
      </c>
      <c r="H119" s="730"/>
      <c r="I119" s="730"/>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4.4" thickBot="1">
      <c r="A120" s="669"/>
      <c r="B120" s="678"/>
      <c r="C120" s="700">
        <v>100</v>
      </c>
      <c r="D120" s="726">
        <v>102</v>
      </c>
      <c r="E120" s="726">
        <v>104</v>
      </c>
      <c r="F120" s="726">
        <v>106</v>
      </c>
      <c r="G120" s="726">
        <v>108</v>
      </c>
      <c r="H120" s="726"/>
      <c r="I120" s="726"/>
      <c r="J120" s="726"/>
      <c r="K120" s="726"/>
      <c r="L120" s="726"/>
      <c r="M120" s="727"/>
      <c r="N120" s="2149"/>
      <c r="O120" s="2149"/>
      <c r="P120" s="2148"/>
      <c r="Q120" s="2141"/>
      <c r="R120" s="2128"/>
      <c r="S120" s="2128"/>
      <c r="T120" s="2128"/>
      <c r="U120" s="2128"/>
      <c r="V120" s="2128"/>
      <c r="W120" s="2128"/>
      <c r="X120" s="2128"/>
      <c r="Y120" s="2128"/>
      <c r="Z120" s="2128"/>
      <c r="AA120" s="2128"/>
      <c r="AB120" s="2128"/>
      <c r="AC120" s="2128"/>
    </row>
    <row r="121" spans="1:29" ht="15" thickTop="1">
      <c r="A121" s="735"/>
      <c r="B121" s="673" t="s">
        <v>594</v>
      </c>
      <c r="C121" s="3191" t="s">
        <v>3146</v>
      </c>
      <c r="D121" s="718"/>
      <c r="E121" s="718"/>
      <c r="F121" s="718"/>
      <c r="G121" s="718"/>
      <c r="H121" s="718"/>
      <c r="I121" s="718"/>
      <c r="J121" s="718"/>
      <c r="K121" s="719"/>
      <c r="L121" s="720"/>
      <c r="M121" s="721"/>
      <c r="N121" s="2147"/>
      <c r="O121" s="2147"/>
      <c r="P121" s="2148"/>
      <c r="Q121" s="2141"/>
      <c r="R121" s="2128"/>
      <c r="S121" s="2128"/>
      <c r="T121" s="2128"/>
      <c r="U121" s="2128"/>
      <c r="V121" s="2128"/>
      <c r="W121" s="2128"/>
      <c r="X121" s="2128"/>
      <c r="Y121" s="2128"/>
      <c r="Z121" s="2128"/>
      <c r="AA121" s="2128"/>
      <c r="AB121" s="2128"/>
      <c r="AC121" s="2128"/>
    </row>
    <row r="122" spans="1:29" ht="14.4"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5"/>
      <c r="B123" s="673" t="s">
        <v>595</v>
      </c>
      <c r="C123" s="3182" t="s">
        <v>3151</v>
      </c>
      <c r="D123" s="688"/>
      <c r="E123" s="688"/>
      <c r="F123" s="718"/>
      <c r="G123" s="718"/>
      <c r="H123" s="718"/>
      <c r="I123" s="718"/>
      <c r="J123" s="718"/>
      <c r="K123" s="719"/>
      <c r="L123" s="720"/>
      <c r="M123" s="721"/>
      <c r="N123" s="2147"/>
      <c r="O123" s="2147"/>
      <c r="P123" s="2148"/>
      <c r="Q123" s="2141"/>
      <c r="R123" s="2128"/>
      <c r="S123" s="2128"/>
      <c r="T123" s="2128"/>
      <c r="U123" s="2128"/>
      <c r="V123" s="2128"/>
      <c r="W123" s="2128"/>
      <c r="X123" s="2128"/>
      <c r="Y123" s="2128"/>
      <c r="Z123" s="2128"/>
      <c r="AA123" s="2128"/>
      <c r="AB123" s="2128"/>
      <c r="AC123" s="2128"/>
    </row>
    <row r="124" spans="1:29" ht="14.4"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49"/>
      <c r="O124" s="2149"/>
      <c r="P124" s="2148"/>
      <c r="Q124" s="2141"/>
      <c r="R124" s="2128"/>
      <c r="S124" s="2128"/>
      <c r="T124" s="2128"/>
      <c r="U124" s="2128"/>
      <c r="V124" s="2128"/>
      <c r="W124" s="2128"/>
      <c r="X124" s="2128"/>
      <c r="Y124" s="2128"/>
      <c r="Z124" s="2128"/>
      <c r="AA124" s="2128"/>
      <c r="AB124" s="2128"/>
      <c r="AC124" s="2128"/>
    </row>
    <row r="125" spans="1:29" s="1335" customFormat="1" ht="15" thickTop="1">
      <c r="A125" s="728"/>
      <c r="B125" s="1879" t="s">
        <v>2422</v>
      </c>
      <c r="C125" s="3192" t="s">
        <v>3149</v>
      </c>
      <c r="D125" s="1371"/>
      <c r="E125" s="1371"/>
      <c r="F125" s="1371"/>
      <c r="G125" s="1371"/>
      <c r="H125" s="718"/>
      <c r="I125" s="718"/>
      <c r="J125" s="718"/>
      <c r="K125" s="719"/>
      <c r="L125" s="720"/>
      <c r="M125" s="721"/>
      <c r="N125" s="2150"/>
      <c r="O125" s="2150"/>
      <c r="P125" s="2151"/>
      <c r="Q125" s="2152"/>
      <c r="R125" s="2153"/>
      <c r="S125" s="2153"/>
      <c r="T125" s="2153"/>
      <c r="U125" s="2153"/>
      <c r="V125" s="2153"/>
      <c r="W125" s="2153"/>
      <c r="X125" s="2153"/>
      <c r="Y125" s="2153"/>
      <c r="Z125" s="2153"/>
      <c r="AA125" s="2153"/>
      <c r="AB125" s="2153"/>
      <c r="AC125" s="2153"/>
    </row>
    <row r="126" spans="1:29" s="1335" customFormat="1" ht="14.4"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5"/>
      <c r="B127" s="673" t="s">
        <v>596</v>
      </c>
      <c r="C127" s="3182" t="s">
        <v>3147</v>
      </c>
      <c r="D127" s="688"/>
      <c r="E127" s="718"/>
      <c r="F127" s="718"/>
      <c r="G127" s="718"/>
      <c r="H127" s="718"/>
      <c r="I127" s="718"/>
      <c r="J127" s="718"/>
      <c r="K127" s="719"/>
      <c r="L127" s="720"/>
      <c r="M127" s="721"/>
      <c r="N127" s="2147"/>
      <c r="O127" s="2147"/>
      <c r="P127" s="2148"/>
      <c r="Q127" s="2141"/>
      <c r="R127" s="2128"/>
      <c r="S127" s="2128"/>
      <c r="T127" s="2128"/>
      <c r="U127" s="2128"/>
      <c r="V127" s="2128"/>
      <c r="W127" s="2128"/>
      <c r="X127" s="2128"/>
      <c r="Y127" s="2128"/>
      <c r="Z127" s="2128"/>
      <c r="AA127" s="2128"/>
      <c r="AB127" s="2128"/>
      <c r="AC127" s="2128"/>
    </row>
    <row r="128" spans="1:29" ht="14.4"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49"/>
      <c r="O128" s="2149"/>
      <c r="P128" s="2148"/>
      <c r="Q128" s="2141"/>
      <c r="R128" s="2128"/>
      <c r="S128" s="2128"/>
      <c r="T128" s="2128"/>
      <c r="U128" s="2128"/>
      <c r="V128" s="2128"/>
      <c r="W128" s="2128"/>
      <c r="X128" s="2128"/>
      <c r="Y128" s="2128"/>
      <c r="Z128" s="2128"/>
      <c r="AA128" s="2128"/>
      <c r="AB128" s="2128"/>
      <c r="AC128" s="2128"/>
    </row>
    <row r="129" spans="1:29" ht="14.4" thickTop="1">
      <c r="A129" s="735"/>
      <c r="B129" s="673">
        <f>B45</f>
        <v>111</v>
      </c>
      <c r="C129" s="688"/>
      <c r="D129" s="688"/>
      <c r="E129" s="688"/>
      <c r="F129" s="688"/>
      <c r="G129" s="688"/>
      <c r="H129" s="718"/>
      <c r="I129" s="718"/>
      <c r="J129" s="718"/>
      <c r="K129" s="719"/>
      <c r="L129" s="720"/>
      <c r="M129" s="721"/>
      <c r="N129" s="2147"/>
      <c r="O129" s="2147"/>
      <c r="P129" s="2148"/>
      <c r="Q129" s="2141"/>
      <c r="R129" s="2128"/>
      <c r="S129" s="2128"/>
      <c r="T129" s="2128"/>
      <c r="U129" s="2128"/>
      <c r="V129" s="2128"/>
      <c r="W129" s="2128"/>
      <c r="X129" s="2128"/>
      <c r="Y129" s="2128"/>
      <c r="Z129" s="2128"/>
      <c r="AA129" s="2128"/>
      <c r="AB129" s="2128"/>
      <c r="AC129" s="2128"/>
    </row>
    <row r="130" spans="1:29" ht="14.4" thickBot="1">
      <c r="A130" s="669"/>
      <c r="B130" s="678"/>
      <c r="C130" s="692"/>
      <c r="D130" s="692"/>
      <c r="E130" s="692"/>
      <c r="F130" s="692"/>
      <c r="G130" s="671"/>
      <c r="H130" s="671"/>
      <c r="I130" s="671"/>
      <c r="J130" s="671"/>
      <c r="K130" s="671"/>
      <c r="L130" s="671"/>
      <c r="M130" s="672"/>
      <c r="N130" s="2149"/>
      <c r="O130" s="2149"/>
      <c r="P130" s="2148"/>
      <c r="Q130" s="2141"/>
      <c r="R130" s="2128"/>
      <c r="S130" s="2128"/>
      <c r="T130" s="2128"/>
      <c r="U130" s="2128"/>
      <c r="V130" s="2128"/>
      <c r="W130" s="2128"/>
      <c r="X130" s="2128"/>
      <c r="Y130" s="2128"/>
      <c r="Z130" s="2128"/>
      <c r="AA130" s="2128"/>
      <c r="AB130" s="2128"/>
      <c r="AC130" s="2128"/>
    </row>
    <row r="131" spans="1:29" ht="14.4" thickTop="1">
      <c r="A131" s="735"/>
      <c r="B131" s="673">
        <f>B46</f>
        <v>111</v>
      </c>
      <c r="C131" s="661"/>
      <c r="D131" s="661"/>
      <c r="E131" s="661"/>
      <c r="F131" s="661"/>
      <c r="G131" s="718"/>
      <c r="H131" s="718"/>
      <c r="I131" s="718"/>
      <c r="J131" s="718"/>
      <c r="K131" s="719"/>
      <c r="L131" s="720"/>
      <c r="M131" s="721"/>
      <c r="N131" s="2147"/>
      <c r="O131" s="2147"/>
      <c r="P131" s="2148"/>
      <c r="Q131" s="2141"/>
      <c r="R131" s="2128"/>
      <c r="S131" s="2128"/>
      <c r="T131" s="2128"/>
      <c r="U131" s="2128"/>
      <c r="V131" s="2128"/>
      <c r="W131" s="2128"/>
      <c r="X131" s="2128"/>
      <c r="Y131" s="2128"/>
      <c r="Z131" s="2128"/>
      <c r="AA131" s="2128"/>
      <c r="AB131" s="2128"/>
      <c r="AC131" s="2128"/>
    </row>
    <row r="132" spans="1:29" ht="14.4" thickBot="1">
      <c r="A132" s="669"/>
      <c r="B132" s="678"/>
      <c r="C132" s="700"/>
      <c r="D132" s="700"/>
      <c r="E132" s="700"/>
      <c r="F132" s="700"/>
      <c r="G132" s="671"/>
      <c r="H132" s="671"/>
      <c r="I132" s="671"/>
      <c r="J132" s="671"/>
      <c r="K132" s="671"/>
      <c r="L132" s="671"/>
      <c r="M132" s="672"/>
      <c r="N132" s="2149"/>
      <c r="O132" s="2149"/>
      <c r="P132" s="2148"/>
      <c r="Q132" s="2141"/>
      <c r="R132" s="2128"/>
      <c r="S132" s="2128"/>
      <c r="T132" s="2128"/>
      <c r="U132" s="2128"/>
      <c r="V132" s="2128"/>
      <c r="W132" s="2128"/>
      <c r="X132" s="2128"/>
      <c r="Y132" s="2128"/>
      <c r="Z132" s="2128"/>
      <c r="AA132" s="2128"/>
      <c r="AB132" s="2128"/>
      <c r="AC132" s="2128"/>
    </row>
    <row r="133" spans="1:29" s="1335" customFormat="1" ht="14.4" thickTop="1">
      <c r="A133" s="728"/>
      <c r="B133" s="673">
        <f>B47</f>
        <v>111</v>
      </c>
      <c r="C133" s="661"/>
      <c r="D133" s="661"/>
      <c r="E133" s="661"/>
      <c r="F133" s="661"/>
      <c r="G133" s="689"/>
      <c r="H133" s="689"/>
      <c r="I133" s="689"/>
      <c r="J133" s="689"/>
      <c r="K133" s="689"/>
      <c r="L133" s="690"/>
      <c r="M133" s="691"/>
      <c r="N133" s="2150"/>
      <c r="O133" s="2150"/>
      <c r="P133" s="2151"/>
      <c r="Q133" s="2152"/>
      <c r="R133" s="2153"/>
      <c r="S133" s="2153"/>
      <c r="T133" s="2153"/>
      <c r="U133" s="2153"/>
      <c r="V133" s="2153"/>
      <c r="W133" s="2153"/>
      <c r="X133" s="2153"/>
      <c r="Y133" s="2153"/>
      <c r="Z133" s="2153"/>
      <c r="AA133" s="2153"/>
      <c r="AB133" s="2153"/>
      <c r="AC133" s="2153"/>
    </row>
    <row r="134" spans="1:29" s="1335" customFormat="1" ht="14.4" thickBot="1">
      <c r="A134" s="698"/>
      <c r="B134" s="736"/>
      <c r="C134" s="700"/>
      <c r="D134" s="700"/>
      <c r="E134" s="700"/>
      <c r="F134" s="700"/>
      <c r="G134" s="726"/>
      <c r="H134" s="726"/>
      <c r="I134" s="726"/>
      <c r="J134" s="726"/>
      <c r="K134" s="726"/>
      <c r="L134" s="726"/>
      <c r="M134" s="727"/>
      <c r="N134" s="2150"/>
      <c r="O134" s="2150"/>
      <c r="P134" s="2151"/>
      <c r="Q134" s="2152"/>
      <c r="R134" s="2153"/>
      <c r="S134" s="2153"/>
      <c r="T134" s="2153"/>
      <c r="U134" s="2153"/>
      <c r="V134" s="2153"/>
      <c r="W134" s="2153"/>
      <c r="X134" s="2153"/>
      <c r="Y134" s="2153"/>
      <c r="Z134" s="2153"/>
      <c r="AA134" s="2153"/>
      <c r="AB134" s="2153"/>
      <c r="AC134" s="2153"/>
    </row>
    <row r="135" spans="1:29" s="1573"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3"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3"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3"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3"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3"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3"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3"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3"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3"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3"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3"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3"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3"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3"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3"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3"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3"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3"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3"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3"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3"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3"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3"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3"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3"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3"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3"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3"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3"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3"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3"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3"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3"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3"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3"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3"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3"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3"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3"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3"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3"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3"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3"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3"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3"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3"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3"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3"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3"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3"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3"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3"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3"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3"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3"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3"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3"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3"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3"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3"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3"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3"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3"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3"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3"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3"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3"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3"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3"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3"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3"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3"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3"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3"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3"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3"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3"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3"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3"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3"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3"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3"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3"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3"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3"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3"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3"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3"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3"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3"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3"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3"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3"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3"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3"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3"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3"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3"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3"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3"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3"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3"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3"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3"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3"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3"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3"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3"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3"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3"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3"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3"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3"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3"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3"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3"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3"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3"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3"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3"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31"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xr:uid="{00000000-0002-0000-1200-000000000000}">
      <formula1>住宅朝向</formula1>
    </dataValidation>
    <dataValidation type="list" allowBlank="1" showInputMessage="1" showErrorMessage="1" sqref="E30 C30 I30 G30" xr:uid="{00000000-0002-0000-1200-000001000000}">
      <formula1>公共配套设施</formula1>
    </dataValidation>
    <dataValidation type="list" allowBlank="1" showInputMessage="1" showErrorMessage="1" sqref="E24 C24 G24 I24" xr:uid="{00000000-0002-0000-1200-000002000000}">
      <formula1>交通便捷度</formula1>
    </dataValidation>
    <dataValidation type="list" allowBlank="1" showInputMessage="1" showErrorMessage="1" sqref="E18 G18 I18 C18" xr:uid="{00000000-0002-0000-1200-000003000000}">
      <formula1>居住社区成熟度</formula1>
    </dataValidation>
    <dataValidation type="list" allowBlank="1" showInputMessage="1" showErrorMessage="1" sqref="C28 E28 G28 I28" xr:uid="{00000000-0002-0000-1200-000004000000}">
      <formula1>环境</formula1>
    </dataValidation>
    <dataValidation type="list" allowBlank="1" showInputMessage="1" showErrorMessage="1" sqref="B48" xr:uid="{00000000-0002-0000-1200-000005000000}">
      <formula1>单价内涵</formula1>
    </dataValidation>
    <dataValidation type="list" allowBlank="1" showInputMessage="1" showErrorMessage="1" sqref="C10 E10 G10 I10" xr:uid="{00000000-0002-0000-1200-000006000000}">
      <formula1>套综交易情况</formula1>
    </dataValidation>
    <dataValidation type="list" allowBlank="1" showInputMessage="1" showErrorMessage="1" sqref="C11 E11 G11 I11" xr:uid="{00000000-0002-0000-1200-000007000000}">
      <formula1>套综用途</formula1>
    </dataValidation>
    <dataValidation type="list" allowBlank="1" showInputMessage="1" showErrorMessage="1" sqref="E20 C20 G20 I20" xr:uid="{00000000-0002-0000-1200-000008000000}">
      <formula1>商业繁华度</formula1>
    </dataValidation>
    <dataValidation type="list" allowBlank="1" showInputMessage="1" showErrorMessage="1" sqref="E22 C22 G22 I22" xr:uid="{00000000-0002-0000-1200-000009000000}">
      <formula1>办公集聚程度</formula1>
    </dataValidation>
    <dataValidation type="list" allowBlank="1" showInputMessage="1" showErrorMessage="1" sqref="C35 E35 G35 I35" xr:uid="{00000000-0002-0000-1200-00000A000000}">
      <formula1>套综道路等级</formula1>
    </dataValidation>
    <dataValidation type="list" allowBlank="1" showInputMessage="1" showErrorMessage="1" sqref="C36 E36 G36 I36" xr:uid="{00000000-0002-0000-1200-00000B000000}">
      <formula1>套综土地级别</formula1>
    </dataValidation>
    <dataValidation type="list" allowBlank="1" showInputMessage="1" showErrorMessage="1" sqref="C41 E41 G41 I41" xr:uid="{00000000-0002-0000-1200-00000C000000}">
      <formula1>套综宗地形状</formula1>
    </dataValidation>
    <dataValidation type="list" allowBlank="1" showInputMessage="1" showErrorMessage="1" sqref="C42 E42 G42 I42" xr:uid="{00000000-0002-0000-1200-00000D000000}">
      <formula1>套综临街宽度及深度</formula1>
    </dataValidation>
    <dataValidation type="list" allowBlank="1" showInputMessage="1" showErrorMessage="1" sqref="C43 E43 G43 I43" xr:uid="{00000000-0002-0000-1200-00000E000000}">
      <formula1>套综宗地内开发程度</formula1>
    </dataValidation>
    <dataValidation type="list" allowBlank="1" showInputMessage="1" showErrorMessage="1" sqref="C44 E44 G44 I44" xr:uid="{00000000-0002-0000-1200-00000F000000}">
      <formula1>套综工程地质条件</formula1>
    </dataValidation>
    <dataValidation type="list" allowBlank="1" showInputMessage="1" showErrorMessage="1" sqref="C33 E33 G33 I33" xr:uid="{00000000-0002-0000-1200-000010000000}">
      <formula1>临街状况</formula1>
    </dataValidation>
    <dataValidation type="list" allowBlank="1" showInputMessage="1" showErrorMessage="1" sqref="E26 G26 I26 C26" xr:uid="{00000000-0002-0000-1200-000011000000}">
      <formula1>区域土地利用方向</formula1>
    </dataValidation>
    <dataValidation type="list" allowBlank="1" showInputMessage="1" showErrorMessage="1" sqref="C57" xr:uid="{00000000-0002-0000-1200-000012000000}">
      <formula1>"北京市系数,其他省市系数"</formula1>
    </dataValidation>
    <dataValidation type="list" allowBlank="1" showInputMessage="1" showErrorMessage="1" sqref="G65" xr:uid="{00000000-0002-0000-1200-000013000000}">
      <formula1>"住宅,工业"</formula1>
    </dataValidation>
    <dataValidation type="list" allowBlank="1" showInputMessage="1" showErrorMessage="1" sqref="G64" xr:uid="{00000000-0002-0000-1200-000014000000}">
      <formula1>"商业,办公,住宅,工业"</formula1>
    </dataValidation>
    <dataValidation type="list" allowBlank="1" showInputMessage="1" showErrorMessage="1" sqref="D59:D67" xr:uid="{00000000-0002-0000-1200-000015000000}">
      <formula1>"25%,1"</formula1>
    </dataValidation>
    <dataValidation type="list" allowBlank="1" showInputMessage="1" showErrorMessage="1" sqref="C32 E32 G32 I32" xr:uid="{00000000-0002-0000-1200-000016000000}">
      <formula1>基础设施水平</formula1>
    </dataValidation>
    <dataValidation type="list" allowBlank="1" showInputMessage="1" showErrorMessage="1" sqref="A73" xr:uid="{00000000-0002-0000-1200-000017000000}">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07" customWidth="1"/>
    <col min="2" max="2" width="25.77734375" style="2097" customWidth="1"/>
    <col min="3" max="3" width="10.33203125" style="2108" customWidth="1"/>
    <col min="4" max="4" width="12" style="2097" customWidth="1"/>
    <col min="5" max="5" width="9.44140625" style="2107" customWidth="1"/>
    <col min="6" max="6" width="10.109375" style="2097" customWidth="1"/>
    <col min="7" max="7" width="9.44140625" style="2097" customWidth="1"/>
    <col min="8" max="8" width="10" style="2097" customWidth="1"/>
    <col min="9" max="11" width="9.44140625" style="2097" customWidth="1"/>
    <col min="12" max="12" width="9" style="2097" customWidth="1"/>
    <col min="13" max="13" width="10.44140625" style="2097" bestFit="1" customWidth="1"/>
    <col min="14" max="254" width="9" style="2097" customWidth="1"/>
    <col min="255" max="16384" width="6.6640625" style="2097"/>
  </cols>
  <sheetData>
    <row r="1" spans="1:41" s="2024" customFormat="1" ht="21">
      <c r="A1" s="421" t="s">
        <v>466</v>
      </c>
      <c r="B1" s="2762"/>
      <c r="C1" s="2087"/>
      <c r="D1" s="2087"/>
      <c r="E1" s="2087"/>
      <c r="F1" s="2087"/>
      <c r="G1" s="2087"/>
      <c r="H1" s="2087"/>
      <c r="I1" s="2087"/>
      <c r="J1" s="2087"/>
      <c r="K1" s="422">
        <f>MATCH(B1,'数据-取费表'!A6:A16,0)+5</f>
        <v>9</v>
      </c>
    </row>
    <row r="2" spans="1:41" s="2024" customFormat="1" ht="18" customHeight="1">
      <c r="A2" s="423" t="s">
        <v>467</v>
      </c>
      <c r="B2" s="424">
        <f ca="1">C32</f>
        <v>0</v>
      </c>
      <c r="C2" s="2087"/>
      <c r="D2" s="2087"/>
      <c r="E2" s="2087"/>
      <c r="F2" s="2087"/>
      <c r="G2" s="2087"/>
      <c r="H2" s="2087"/>
      <c r="I2" s="2087"/>
      <c r="J2" s="2087"/>
      <c r="K2" s="2087"/>
    </row>
    <row r="3" spans="1:41" s="2024" customFormat="1" ht="18" customHeight="1">
      <c r="A3" s="1375" t="s">
        <v>1683</v>
      </c>
      <c r="B3" s="425">
        <f ca="1">ROUND(B2*10000/IF(B1="",'数据-汇总表'!E3,INDIRECT("'数据-取费表'!K"&amp;$K$1)),0)</f>
        <v>0</v>
      </c>
      <c r="C3" s="2087"/>
      <c r="D3" s="2087"/>
      <c r="E3" s="2087"/>
      <c r="F3" s="2087"/>
      <c r="G3" s="2087"/>
      <c r="H3" s="2087"/>
      <c r="I3" s="2087"/>
      <c r="J3" s="2087"/>
      <c r="K3" s="2087"/>
    </row>
    <row r="4" spans="1:41" s="2024" customFormat="1" ht="18" customHeight="1">
      <c r="A4" s="426" t="s">
        <v>468</v>
      </c>
      <c r="B4" s="427">
        <f ca="1">ROUND(B2*10000/IF(B1="",'数据-汇总表'!D3,INDIRECT("'数据-取费表'!R"&amp;$K$1)),0)</f>
        <v>0</v>
      </c>
      <c r="C4" s="2044"/>
      <c r="D4" s="2087"/>
      <c r="E4" s="2087"/>
      <c r="F4" s="2087"/>
      <c r="G4" s="2087"/>
      <c r="H4" s="2087"/>
      <c r="I4" s="2087"/>
      <c r="J4" s="2087"/>
      <c r="K4" s="2087"/>
    </row>
    <row r="5" spans="1:41" s="2024" customFormat="1" ht="18" customHeight="1" thickBot="1">
      <c r="A5" s="429"/>
      <c r="B5" s="430">
        <f ca="1">ROUND(B2/(IF(B1="",'数据-汇总表'!D3,INDIRECT("'数据-取费表'!R"&amp;$K$1))/666.67),0)</f>
        <v>0</v>
      </c>
      <c r="C5" s="431" t="s">
        <v>469</v>
      </c>
      <c r="D5" s="2087"/>
      <c r="E5" s="2087"/>
      <c r="F5" s="2087"/>
      <c r="G5" s="2087"/>
      <c r="H5" s="2087"/>
      <c r="I5" s="2087"/>
      <c r="J5" s="2087"/>
      <c r="K5" s="2087"/>
    </row>
    <row r="6" spans="1:41" s="2094" customFormat="1" ht="16.5" customHeight="1">
      <c r="A6" s="432" t="s">
        <v>2648</v>
      </c>
      <c r="B6" s="433"/>
      <c r="C6" s="1608">
        <f>SUM(C10:K10)</f>
        <v>0</v>
      </c>
      <c r="D6" s="2092"/>
      <c r="E6" s="2092"/>
      <c r="F6" s="2092"/>
      <c r="G6" s="2092"/>
      <c r="H6" s="2092"/>
      <c r="I6" s="2092"/>
      <c r="J6" s="2092"/>
      <c r="K6" s="2093"/>
    </row>
    <row r="7" spans="1:41" s="2096" customFormat="1" ht="14.4">
      <c r="A7" s="434" t="s">
        <v>470</v>
      </c>
      <c r="B7" s="435" t="s">
        <v>471</v>
      </c>
      <c r="C7" s="436"/>
      <c r="D7" s="436"/>
      <c r="E7" s="436"/>
      <c r="F7" s="436"/>
      <c r="G7" s="436"/>
      <c r="H7" s="436"/>
      <c r="I7" s="436"/>
      <c r="J7" s="436"/>
      <c r="K7" s="437"/>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6" t="s">
        <v>1844</v>
      </c>
      <c r="B8" s="438" t="s">
        <v>472</v>
      </c>
      <c r="C8" s="439"/>
      <c r="D8" s="439"/>
      <c r="E8" s="439"/>
      <c r="F8" s="439"/>
      <c r="G8" s="439"/>
      <c r="H8" s="439"/>
      <c r="I8" s="439"/>
      <c r="J8" s="439"/>
      <c r="K8" s="440"/>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6"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7" t="s">
        <v>1846</v>
      </c>
      <c r="B10" s="1609" t="s">
        <v>474</v>
      </c>
      <c r="C10" s="1610"/>
      <c r="D10" s="1610"/>
      <c r="E10" s="1610"/>
      <c r="F10" s="1611"/>
      <c r="G10" s="1611"/>
      <c r="H10" s="1611"/>
      <c r="I10" s="1611"/>
      <c r="J10" s="1611"/>
      <c r="K10" s="1612"/>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5" t="s">
        <v>1863</v>
      </c>
      <c r="B11" s="1606"/>
      <c r="C11" s="1606"/>
      <c r="D11" s="1606"/>
      <c r="E11" s="1606"/>
      <c r="F11" s="1606"/>
      <c r="G11" s="1606"/>
      <c r="H11" s="1606"/>
      <c r="I11" s="1606"/>
      <c r="J11" s="1606"/>
      <c r="K11" s="1607"/>
    </row>
    <row r="12" spans="1:41" s="2068" customFormat="1" ht="13.5" customHeight="1">
      <c r="A12" s="434" t="s">
        <v>470</v>
      </c>
      <c r="B12" s="444" t="s">
        <v>471</v>
      </c>
      <c r="C12" s="445" t="s">
        <v>475</v>
      </c>
      <c r="D12" s="446" t="s">
        <v>476</v>
      </c>
      <c r="E12" s="446" t="s">
        <v>477</v>
      </c>
      <c r="F12" s="446" t="s">
        <v>478</v>
      </c>
      <c r="G12" s="444"/>
      <c r="H12" s="447"/>
      <c r="I12" s="447"/>
      <c r="J12" s="447"/>
      <c r="K12" s="448"/>
    </row>
    <row r="13" spans="1:41" s="2099" customFormat="1" ht="13.5" customHeight="1">
      <c r="A13" s="1618" t="s">
        <v>1847</v>
      </c>
      <c r="B13" s="449" t="s">
        <v>479</v>
      </c>
      <c r="C13" s="450">
        <f ca="1">IF(B1="",'数据-取费表'!M16,INDIRECT("'数据-取费表'!M"&amp;$K$1)+INDIRECT("'数据-取费表'!t"&amp;$K$1))</f>
        <v>30112</v>
      </c>
      <c r="D13" s="451"/>
      <c r="E13" s="365"/>
      <c r="F13" s="452"/>
      <c r="G13" s="444"/>
      <c r="H13" s="447"/>
      <c r="I13" s="447"/>
      <c r="J13" s="447"/>
      <c r="K13" s="448"/>
    </row>
    <row r="14" spans="1:41" s="2099" customFormat="1" ht="13.5" customHeight="1">
      <c r="A14" s="1618" t="s">
        <v>1848</v>
      </c>
      <c r="B14" s="449" t="s">
        <v>480</v>
      </c>
      <c r="C14" s="53">
        <f ca="1">ROUND(C13*F14,0)</f>
        <v>903</v>
      </c>
      <c r="D14" s="451"/>
      <c r="E14" s="365"/>
      <c r="F14" s="453">
        <f>'数据-取费表'!B33</f>
        <v>0.03</v>
      </c>
      <c r="G14" s="444" t="s">
        <v>502</v>
      </c>
      <c r="H14" s="447"/>
      <c r="I14" s="447"/>
      <c r="J14" s="447"/>
      <c r="K14" s="448"/>
    </row>
    <row r="15" spans="1:41" s="2099" customFormat="1" ht="13.5" customHeight="1">
      <c r="A15" s="1618" t="s">
        <v>1849</v>
      </c>
      <c r="B15" s="449" t="s">
        <v>482</v>
      </c>
      <c r="C15" s="53">
        <f ca="1">ROUND(IF(B1="",SUMIF('数据-取费表'!C:C,"住宅",'数据-取费表'!M:M)*F15,IF(INDIRECT("'数据-取费表'!c"&amp;$K$1)="住宅",INDIRECT("'数据-取费表'!M"&amp;$K$1)*F15,0)),0)</f>
        <v>783</v>
      </c>
      <c r="D15" s="451"/>
      <c r="E15" s="365"/>
      <c r="F15" s="453">
        <f>'数据-取费表'!B34</f>
        <v>0.05</v>
      </c>
      <c r="G15" s="444" t="s">
        <v>502</v>
      </c>
      <c r="H15" s="447"/>
      <c r="I15" s="447"/>
      <c r="J15" s="447"/>
      <c r="K15" s="448"/>
    </row>
    <row r="16" spans="1:41" s="2100" customFormat="1" ht="13.5" customHeight="1">
      <c r="A16" s="1618" t="s">
        <v>1850</v>
      </c>
      <c r="B16" s="449" t="s">
        <v>484</v>
      </c>
      <c r="C16" s="53">
        <f ca="1">ROUND(D16*E16/10000,0)</f>
        <v>3358</v>
      </c>
      <c r="D16" s="451">
        <f ca="1">IF(B1="",'数据-汇总表'!E3,INDIRECT("'数据-取费表'!K"&amp;$K$1)+INDIRECT("'数据-取费表'!S"&amp;$K$1))</f>
        <v>167887.58000000002</v>
      </c>
      <c r="E16" s="53">
        <f>'数据-取费表'!B35</f>
        <v>200</v>
      </c>
      <c r="F16" s="453"/>
      <c r="G16" s="444"/>
      <c r="H16" s="447"/>
      <c r="I16" s="447"/>
      <c r="J16" s="447"/>
      <c r="K16" s="448"/>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8" t="s">
        <v>1851</v>
      </c>
      <c r="B17" s="449" t="s">
        <v>485</v>
      </c>
      <c r="C17" s="454">
        <f ca="1">ROUND(C13*F17,0)</f>
        <v>452</v>
      </c>
      <c r="D17" s="455"/>
      <c r="E17" s="454"/>
      <c r="F17" s="456">
        <f>'数据-取费表'!B36</f>
        <v>1.4999999999999999E-2</v>
      </c>
      <c r="G17" s="444" t="s">
        <v>502</v>
      </c>
      <c r="H17" s="457"/>
      <c r="I17" s="457"/>
      <c r="J17" s="457"/>
      <c r="K17" s="458"/>
    </row>
    <row r="18" spans="1:14" s="2102" customFormat="1" ht="13.5" customHeight="1">
      <c r="A18" s="1619" t="s">
        <v>1852</v>
      </c>
      <c r="B18" s="459" t="s">
        <v>487</v>
      </c>
      <c r="C18" s="460">
        <f ca="1">SUM(C13:C17)</f>
        <v>35608</v>
      </c>
      <c r="D18" s="461"/>
      <c r="E18" s="462"/>
      <c r="F18" s="462"/>
      <c r="G18" s="1323" t="s">
        <v>2429</v>
      </c>
      <c r="H18" s="447"/>
      <c r="I18" s="447"/>
      <c r="J18" s="447"/>
      <c r="K18" s="448"/>
    </row>
    <row r="19" spans="1:14" s="2102" customFormat="1" ht="13.5" customHeight="1">
      <c r="A19" s="1619" t="s">
        <v>1853</v>
      </c>
      <c r="B19" s="459" t="s">
        <v>493</v>
      </c>
      <c r="C19" s="460">
        <f ca="1">ROUND(C18*F19,0)</f>
        <v>712</v>
      </c>
      <c r="D19" s="462"/>
      <c r="E19" s="462"/>
      <c r="F19" s="466">
        <f>'数据-取费表'!B37</f>
        <v>0.02</v>
      </c>
      <c r="G19" s="444" t="s">
        <v>503</v>
      </c>
      <c r="H19" s="447"/>
      <c r="I19" s="447"/>
      <c r="J19" s="447"/>
      <c r="K19" s="448"/>
      <c r="L19" s="2104"/>
      <c r="M19" s="2104"/>
      <c r="N19" s="2104"/>
    </row>
    <row r="20" spans="1:14" s="2102" customFormat="1" ht="13.5" customHeight="1">
      <c r="A20" s="1619" t="s">
        <v>1854</v>
      </c>
      <c r="B20" s="459" t="s">
        <v>504</v>
      </c>
      <c r="C20" s="2979">
        <f>F20</f>
        <v>0.02</v>
      </c>
      <c r="D20" s="469" t="s">
        <v>505</v>
      </c>
      <c r="E20" s="469"/>
      <c r="F20" s="486">
        <f>'数据-取费表'!B38</f>
        <v>0.02</v>
      </c>
      <c r="G20" s="1323" t="s">
        <v>506</v>
      </c>
      <c r="H20" s="447"/>
      <c r="I20" s="447"/>
      <c r="J20" s="447"/>
      <c r="K20" s="448"/>
      <c r="L20" s="2104"/>
      <c r="M20" s="2104"/>
      <c r="N20" s="2104"/>
    </row>
    <row r="21" spans="1:14" s="2104" customFormat="1" ht="13.5" customHeight="1">
      <c r="A21" s="1619" t="s">
        <v>1857</v>
      </c>
      <c r="B21" s="461" t="s">
        <v>494</v>
      </c>
      <c r="C21" s="470">
        <f ca="1">C22</f>
        <v>1725</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1" t="s">
        <v>2451</v>
      </c>
    </row>
    <row r="22" spans="1:14" s="2103" customFormat="1" ht="13.5" customHeight="1">
      <c r="A22" s="1618" t="s">
        <v>1847</v>
      </c>
      <c r="B22" s="1324" t="s">
        <v>2432</v>
      </c>
      <c r="C22" s="487">
        <f ca="1">ROUND(IF('数据-取费表'!B22&lt;=1,(C18+C19)*F21*'数据-取费表'!B20/2,(C18+C19)*(POWER((1+F21),'数据-取费表'!B20/2)-1)),0)</f>
        <v>1725</v>
      </c>
      <c r="D22" s="472"/>
      <c r="E22" s="473"/>
      <c r="F22" s="474"/>
      <c r="G22" s="2529" t="str">
        <f>IF('数据-取费表'!B22&lt;=1,"((1)+(2))×年利率×建设期÷2","((1)+(2))×((1+年利率)^(建设期÷2)-1)")</f>
        <v>((1)+(2))×((1+年利率)^(建设期÷2)-1)</v>
      </c>
      <c r="H22" s="457"/>
      <c r="I22" s="457"/>
      <c r="J22" s="457"/>
      <c r="K22" s="458"/>
    </row>
    <row r="23" spans="1:14" s="2103" customFormat="1" ht="13.5" customHeight="1">
      <c r="A23" s="1618" t="s">
        <v>1848</v>
      </c>
      <c r="B23" s="1324" t="s">
        <v>508</v>
      </c>
      <c r="C23" s="488">
        <f ca="1">ROUND(IF('数据-取费表'!B22&lt;=1,F20*F21*'数据-取费表'!B20/2,F20*(POWER((1+F21),'数据-取费表'!B20/2)-1)),4)</f>
        <v>1E-3</v>
      </c>
      <c r="D23" s="472"/>
      <c r="E23" s="473"/>
      <c r="F23" s="474"/>
      <c r="G23" s="2529" t="str">
        <f>IF('数据-取费表'!B22&lt;=1,"销售费用率×年利率×建设期÷2","销售费用率×((1+年利率)^(建设期÷2)-1)")</f>
        <v>销售费用率×((1+年利率)^(建设期÷2)-1)</v>
      </c>
      <c r="H23" s="457"/>
      <c r="I23" s="457"/>
      <c r="J23" s="457"/>
      <c r="K23" s="458"/>
    </row>
    <row r="24" spans="1:14" s="2103" customFormat="1" ht="13.5" customHeight="1">
      <c r="A24" s="1619" t="s">
        <v>1858</v>
      </c>
      <c r="B24" s="2981" t="s">
        <v>2828</v>
      </c>
      <c r="C24" s="478">
        <f ca="1">C25</f>
        <v>4722</v>
      </c>
      <c r="D24" s="489">
        <f ca="1">C26</f>
        <v>2.5999999999999999E-3</v>
      </c>
      <c r="E24" s="469" t="s">
        <v>507</v>
      </c>
      <c r="F24" s="479">
        <f ca="1">IF(B1="",'数据-取费表'!Q16,INDIRECT("'数据-取费表'!q"&amp;$K$1))</f>
        <v>0.13</v>
      </c>
      <c r="G24" s="444"/>
      <c r="H24" s="447"/>
      <c r="I24" s="447"/>
      <c r="J24" s="447"/>
      <c r="K24" s="448"/>
    </row>
    <row r="25" spans="1:14" s="2103" customFormat="1" ht="13.5" customHeight="1">
      <c r="A25" s="1618" t="s">
        <v>1847</v>
      </c>
      <c r="B25" s="1324" t="s">
        <v>2433</v>
      </c>
      <c r="C25" s="490">
        <f ca="1">ROUND((C18+C19)*F24,0)</f>
        <v>4722</v>
      </c>
      <c r="D25" s="472"/>
      <c r="E25" s="473"/>
      <c r="F25" s="480"/>
      <c r="G25" s="1322" t="s">
        <v>2430</v>
      </c>
      <c r="H25" s="457"/>
      <c r="I25" s="457"/>
      <c r="J25" s="457"/>
      <c r="K25" s="458"/>
    </row>
    <row r="26" spans="1:14" s="2103" customFormat="1" ht="13.5" customHeight="1">
      <c r="A26" s="1618" t="s">
        <v>1848</v>
      </c>
      <c r="B26" s="1324" t="s">
        <v>509</v>
      </c>
      <c r="C26" s="491">
        <f ca="1">ROUND(F20*F24,4)</f>
        <v>2.5999999999999999E-3</v>
      </c>
      <c r="D26" s="472"/>
      <c r="E26" s="481"/>
      <c r="F26" s="480"/>
      <c r="G26" s="1322" t="s">
        <v>510</v>
      </c>
      <c r="H26" s="457"/>
      <c r="I26" s="457"/>
      <c r="J26" s="457"/>
      <c r="K26" s="458"/>
    </row>
    <row r="27" spans="1:14" s="2103" customFormat="1" ht="13.5" customHeight="1">
      <c r="A27" s="1622" t="s">
        <v>1866</v>
      </c>
      <c r="B27" s="459" t="s">
        <v>511</v>
      </c>
      <c r="C27" s="2980">
        <f>ROUND(F27/(1+'数据-取费表'!C42),4)</f>
        <v>5.2400000000000002E-2</v>
      </c>
      <c r="D27" s="462" t="s">
        <v>2826</v>
      </c>
      <c r="E27" s="462"/>
      <c r="F27" s="466">
        <f>'数据-取费表'!B41</f>
        <v>5.5000000000000007E-2</v>
      </c>
      <c r="G27" s="1943" t="s">
        <v>2288</v>
      </c>
      <c r="H27" s="447"/>
      <c r="I27" s="447"/>
      <c r="J27" s="447"/>
      <c r="K27" s="448"/>
    </row>
    <row r="28" spans="1:14" s="2104" customFormat="1" ht="13.5" customHeight="1">
      <c r="A28" s="1622" t="s">
        <v>1867</v>
      </c>
      <c r="B28" s="476" t="s">
        <v>512</v>
      </c>
      <c r="C28" s="470">
        <f ca="1">ROUND((C18+C19+C21+C24)/(1-C20-D21-D24-C27),0)</f>
        <v>46285</v>
      </c>
      <c r="D28" s="477"/>
      <c r="E28" s="469"/>
      <c r="F28" s="471"/>
      <c r="G28" s="1323" t="s">
        <v>2431</v>
      </c>
      <c r="H28" s="447"/>
      <c r="I28" s="447"/>
      <c r="J28" s="447"/>
      <c r="K28" s="448"/>
    </row>
    <row r="29" spans="1:14" s="2104" customFormat="1" ht="13.5" customHeight="1">
      <c r="A29" s="1622" t="s">
        <v>1868</v>
      </c>
      <c r="B29" s="476" t="s">
        <v>513</v>
      </c>
      <c r="C29" s="492">
        <f ca="1">IF(B1="",'数据-取费表'!N16,INDIRECT("'数据-取费表'!N"&amp;$K$1))</f>
        <v>0</v>
      </c>
      <c r="D29" s="493"/>
      <c r="E29" s="494"/>
      <c r="F29" s="495"/>
      <c r="G29" s="444"/>
      <c r="H29" s="447"/>
      <c r="I29" s="447"/>
      <c r="J29" s="447"/>
      <c r="K29" s="448"/>
    </row>
    <row r="30" spans="1:14" s="2104" customFormat="1" ht="13.5" customHeight="1">
      <c r="A30" s="443">
        <v>2</v>
      </c>
      <c r="B30" s="476" t="s">
        <v>514</v>
      </c>
      <c r="C30" s="497">
        <f ca="1">ROUND(C28*C29,0)</f>
        <v>0</v>
      </c>
      <c r="D30" s="493"/>
      <c r="E30" s="498"/>
      <c r="F30" s="499"/>
      <c r="G30" s="1325" t="s">
        <v>515</v>
      </c>
      <c r="H30" s="496"/>
      <c r="I30" s="496"/>
      <c r="J30" s="447"/>
      <c r="K30" s="448"/>
    </row>
    <row r="31" spans="1:14" s="2109" customFormat="1" ht="13.5" customHeight="1">
      <c r="A31" s="2444" t="s">
        <v>1864</v>
      </c>
      <c r="B31" s="1326"/>
      <c r="C31" s="500">
        <f>ROUND(C6*F31/(1+'数据-取费表'!C42),0)</f>
        <v>0</v>
      </c>
      <c r="D31" s="1327"/>
      <c r="E31" s="1327"/>
      <c r="F31" s="501">
        <f>'数据-取费表'!B41</f>
        <v>5.5000000000000007E-2</v>
      </c>
      <c r="G31" s="1328"/>
      <c r="H31" s="1328"/>
      <c r="I31" s="1328"/>
      <c r="J31" s="1329"/>
      <c r="K31" s="1330"/>
    </row>
    <row r="32" spans="1:14" s="2068"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5" t="s">
        <v>2966</v>
      </c>
      <c r="H32" s="483"/>
      <c r="I32" s="483"/>
      <c r="J32" s="483"/>
      <c r="K32" s="485"/>
    </row>
    <row r="34" ht="12.75" customHeight="1"/>
  </sheetData>
  <sheetProtection password="C66D" sheet="1" objects="1" scenarios="1" formatCells="0" formatColumns="0" formatRows="0"/>
  <phoneticPr fontId="46" type="noConversion"/>
  <dataValidations count="1">
    <dataValidation type="list" allowBlank="1" showInputMessage="1" showErrorMessage="1" sqref="C7:K7 B1" xr:uid="{00000000-0002-0000-1300-000000000000}">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508" t="e">
        <f>F63</f>
        <v>#DIV/0!</v>
      </c>
      <c r="C2" s="2111"/>
      <c r="D2" s="2111"/>
      <c r="E2" s="2111"/>
      <c r="F2" s="2112"/>
      <c r="G2" s="2111"/>
      <c r="H2" s="2111"/>
      <c r="I2" s="2111"/>
      <c r="J2" s="2111"/>
      <c r="K2" s="2113"/>
      <c r="L2" s="2114"/>
      <c r="M2" s="2115"/>
      <c r="N2" s="2115"/>
      <c r="O2" s="2115"/>
      <c r="P2" s="1550"/>
      <c r="Q2" s="1550"/>
      <c r="R2" s="1550"/>
      <c r="S2" s="1550"/>
      <c r="T2" s="1550"/>
      <c r="U2" s="1550"/>
      <c r="V2" s="1550"/>
      <c r="W2" s="1550"/>
      <c r="X2" s="1550"/>
      <c r="Y2" s="1550"/>
      <c r="Z2" s="1550"/>
      <c r="AA2" s="1550"/>
      <c r="AB2" s="1550"/>
      <c r="AC2" s="1551"/>
    </row>
    <row r="3" spans="1:29" s="1332" customFormat="1" ht="28.5" customHeight="1">
      <c r="A3" s="1376" t="s">
        <v>1684</v>
      </c>
      <c r="B3" s="510" t="e">
        <f>ROUND(B2*10000/'数据-汇总表'!E3,0)</f>
        <v>#DIV/0!</v>
      </c>
      <c r="C3" s="2044"/>
      <c r="D3" s="2044"/>
      <c r="E3" s="2044"/>
      <c r="F3" s="2044"/>
      <c r="G3" s="2111"/>
      <c r="H3" s="2111"/>
      <c r="I3" s="2111"/>
      <c r="J3" s="2111"/>
      <c r="K3" s="2113"/>
      <c r="L3" s="2114"/>
      <c r="M3" s="2115"/>
      <c r="N3" s="2115"/>
      <c r="O3" s="2115"/>
      <c r="P3" s="1550"/>
      <c r="Q3" s="1550"/>
      <c r="R3" s="1550"/>
      <c r="S3" s="1550"/>
      <c r="T3" s="1550"/>
      <c r="U3" s="1550"/>
      <c r="V3" s="1550"/>
      <c r="W3" s="1550"/>
      <c r="X3" s="1550"/>
      <c r="Y3" s="1550"/>
      <c r="Z3" s="1550"/>
      <c r="AA3" s="1550"/>
      <c r="AB3" s="428"/>
      <c r="AC3" s="428"/>
    </row>
    <row r="4" spans="1:29" s="1332" customFormat="1" ht="28.5" customHeight="1">
      <c r="A4" s="511" t="s">
        <v>520</v>
      </c>
      <c r="B4" s="427" t="e">
        <f>IF(B43="单位面积地价",C45,ROUND(B2*10000/'数据-汇总表'!D3,0))</f>
        <v>#DIV/0!</v>
      </c>
      <c r="C4" s="2044"/>
      <c r="D4" s="2044"/>
      <c r="E4" s="2044"/>
      <c r="F4" s="2044"/>
      <c r="G4" s="2111"/>
      <c r="H4" s="2111"/>
      <c r="I4" s="2111"/>
      <c r="J4" s="2111"/>
      <c r="K4" s="2113"/>
      <c r="L4" s="2114"/>
      <c r="M4" s="2115"/>
      <c r="N4" s="2115"/>
      <c r="O4" s="2115"/>
      <c r="P4" s="1550"/>
      <c r="Q4" s="1550"/>
      <c r="R4" s="1550"/>
      <c r="S4" s="1550"/>
      <c r="T4" s="1550"/>
      <c r="U4" s="1550"/>
      <c r="V4" s="1550"/>
      <c r="W4" s="1550"/>
      <c r="X4" s="1550"/>
      <c r="Y4" s="1550"/>
      <c r="Z4" s="1550"/>
      <c r="AA4" s="1550"/>
      <c r="AB4" s="1550"/>
      <c r="AC4" s="428"/>
    </row>
    <row r="5" spans="1:29" s="1332" customFormat="1" ht="28.5" customHeight="1" thickBot="1">
      <c r="A5" s="429"/>
      <c r="B5" s="430" t="e">
        <f>ROUND(B2/('数据-汇总表'!D3/666.67),0)</f>
        <v>#DIV/0!</v>
      </c>
      <c r="C5" s="431" t="s">
        <v>469</v>
      </c>
      <c r="D5" s="2044"/>
      <c r="E5" s="2044"/>
      <c r="F5" s="2044"/>
      <c r="G5" s="2111"/>
      <c r="H5" s="2111"/>
      <c r="I5" s="2111"/>
      <c r="J5" s="2111"/>
      <c r="K5" s="2113"/>
      <c r="L5" s="2114"/>
      <c r="M5" s="2115"/>
      <c r="N5" s="2115"/>
      <c r="O5" s="2115"/>
      <c r="P5" s="1550"/>
      <c r="Q5" s="1550"/>
      <c r="R5" s="1550"/>
      <c r="S5" s="1550"/>
      <c r="T5" s="1550"/>
      <c r="U5" s="1550"/>
      <c r="V5" s="1550"/>
      <c r="W5" s="1550"/>
      <c r="X5" s="1550"/>
      <c r="Y5" s="1550"/>
      <c r="Z5" s="1550"/>
      <c r="AA5" s="1550"/>
      <c r="AB5" s="1552"/>
      <c r="AC5" s="428"/>
    </row>
    <row r="6" spans="1:29" ht="14.4">
      <c r="A6" s="512" t="s">
        <v>521</v>
      </c>
      <c r="B6" s="513"/>
      <c r="C6" s="3516" t="s">
        <v>522</v>
      </c>
      <c r="D6" s="3517"/>
      <c r="E6" s="3540" t="s">
        <v>523</v>
      </c>
      <c r="F6" s="3541"/>
      <c r="G6" s="3516" t="s">
        <v>524</v>
      </c>
      <c r="H6" s="3517"/>
      <c r="I6" s="3516" t="s">
        <v>525</v>
      </c>
      <c r="J6" s="3517"/>
      <c r="K6" s="514" t="s">
        <v>526</v>
      </c>
      <c r="L6" s="2116"/>
      <c r="M6" s="2117"/>
      <c r="N6" s="2117"/>
      <c r="O6" s="2117"/>
      <c r="P6" s="3518" t="s">
        <v>527</v>
      </c>
      <c r="Q6" s="3519"/>
      <c r="R6" s="3504" t="s">
        <v>523</v>
      </c>
      <c r="S6" s="3505"/>
      <c r="T6" s="3504" t="s">
        <v>524</v>
      </c>
      <c r="U6" s="3505"/>
      <c r="V6" s="3524" t="s">
        <v>525</v>
      </c>
      <c r="W6" s="3524"/>
      <c r="X6" s="1553"/>
      <c r="Y6" s="3504" t="s">
        <v>527</v>
      </c>
      <c r="Z6" s="3505"/>
      <c r="AA6" s="3499" t="s">
        <v>523</v>
      </c>
      <c r="AB6" s="3500" t="s">
        <v>524</v>
      </c>
      <c r="AC6" s="3499" t="s">
        <v>525</v>
      </c>
    </row>
    <row r="7" spans="1:29">
      <c r="A7" s="515"/>
      <c r="B7" s="516"/>
      <c r="C7" s="3527" t="s">
        <v>2923</v>
      </c>
      <c r="D7" s="3528"/>
      <c r="E7" s="3542" t="s">
        <v>2924</v>
      </c>
      <c r="F7" s="3543"/>
      <c r="G7" s="3527" t="s">
        <v>2925</v>
      </c>
      <c r="H7" s="3528"/>
      <c r="I7" s="3527" t="s">
        <v>2926</v>
      </c>
      <c r="J7" s="3528"/>
      <c r="K7" s="514"/>
      <c r="L7" s="2116"/>
      <c r="M7" s="2117"/>
      <c r="N7" s="2117"/>
      <c r="O7" s="2117"/>
      <c r="P7" s="3520"/>
      <c r="Q7" s="3521"/>
      <c r="R7" s="3506"/>
      <c r="S7" s="3507"/>
      <c r="T7" s="3506"/>
      <c r="U7" s="3507"/>
      <c r="V7" s="3524"/>
      <c r="W7" s="3524"/>
      <c r="X7" s="1553"/>
      <c r="Y7" s="3506"/>
      <c r="Z7" s="3507"/>
      <c r="AA7" s="3500"/>
      <c r="AB7" s="3500"/>
      <c r="AC7" s="3500"/>
    </row>
    <row r="8" spans="1:29" ht="15" thickBot="1">
      <c r="A8" s="517"/>
      <c r="B8" s="518"/>
      <c r="C8" s="3525" t="s">
        <v>2927</v>
      </c>
      <c r="D8" s="3526"/>
      <c r="E8" s="3544" t="s">
        <v>2927</v>
      </c>
      <c r="F8" s="3545"/>
      <c r="G8" s="3525" t="s">
        <v>2927</v>
      </c>
      <c r="H8" s="3526"/>
      <c r="I8" s="3525" t="s">
        <v>2927</v>
      </c>
      <c r="J8" s="3526"/>
      <c r="K8" s="514" t="s">
        <v>528</v>
      </c>
      <c r="L8" s="2116"/>
      <c r="M8" s="2117"/>
      <c r="N8" s="2117"/>
      <c r="O8" s="2117"/>
      <c r="P8" s="3522"/>
      <c r="Q8" s="3523"/>
      <c r="R8" s="3506"/>
      <c r="S8" s="3507"/>
      <c r="T8" s="3508"/>
      <c r="U8" s="3509"/>
      <c r="V8" s="3524"/>
      <c r="W8" s="3524"/>
      <c r="X8" s="1553"/>
      <c r="Y8" s="3508"/>
      <c r="Z8" s="3509"/>
      <c r="AA8" s="3501"/>
      <c r="AB8" s="3501"/>
      <c r="AC8" s="3501"/>
    </row>
    <row r="9" spans="1:29" s="1216" customFormat="1" ht="15" thickBot="1">
      <c r="A9" s="2865"/>
      <c r="B9" s="2872" t="s">
        <v>529</v>
      </c>
      <c r="C9" s="519">
        <f>'数据-取费表'!B2</f>
        <v>43889</v>
      </c>
      <c r="D9" s="520">
        <v>100</v>
      </c>
      <c r="E9" s="521"/>
      <c r="F9" s="522">
        <f>SUMIF(67:67,YEAR(E9)&amp;"-"&amp;INT((MONTH(E9)+2)/3),68:68)</f>
        <v>0</v>
      </c>
      <c r="G9" s="523"/>
      <c r="H9" s="520">
        <f>SUMIF(67:67,YEAR(G9)&amp;"-"&amp;INT((MONTH(G9)+2)/3),68:68)</f>
        <v>0</v>
      </c>
      <c r="I9" s="523"/>
      <c r="J9" s="520">
        <f>SUMIF(67:67,YEAR(I9)&amp;"-"&amp;INT((MONTH(I9)+2)/3),68:68)</f>
        <v>0</v>
      </c>
      <c r="K9" s="524"/>
      <c r="L9" s="2118"/>
      <c r="M9" s="2119"/>
      <c r="N9" s="2119"/>
      <c r="O9" s="2119"/>
      <c r="P9" s="3502" t="s">
        <v>530</v>
      </c>
      <c r="Q9" s="3511"/>
      <c r="R9" s="1554" t="s">
        <v>8</v>
      </c>
      <c r="S9" s="1555">
        <f t="shared" ref="S9:S17" si="0">F9</f>
        <v>0</v>
      </c>
      <c r="T9" s="1554" t="s">
        <v>8</v>
      </c>
      <c r="U9" s="1555">
        <f t="shared" ref="U9:U17" si="1">H9</f>
        <v>0</v>
      </c>
      <c r="V9" s="1554" t="s">
        <v>8</v>
      </c>
      <c r="W9" s="1555">
        <f t="shared" ref="W9:W17" si="2">J9</f>
        <v>0</v>
      </c>
      <c r="X9" s="1556"/>
      <c r="Y9" s="3502" t="s">
        <v>530</v>
      </c>
      <c r="Z9" s="3503"/>
      <c r="AA9" s="1557" t="e">
        <f>D9/F9</f>
        <v>#DIV/0!</v>
      </c>
      <c r="AB9" s="1557" t="e">
        <f>D9/H9</f>
        <v>#DIV/0!</v>
      </c>
      <c r="AC9" s="1557" t="e">
        <f>D9/J9</f>
        <v>#DIV/0!</v>
      </c>
    </row>
    <row r="10" spans="1:29" s="1216" customFormat="1" ht="15" thickBot="1">
      <c r="A10" s="2866"/>
      <c r="B10" s="2873"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18"/>
      <c r="M10" s="2119"/>
      <c r="N10" s="2119"/>
      <c r="O10" s="2119"/>
      <c r="P10" s="3502" t="s">
        <v>533</v>
      </c>
      <c r="Q10" s="3503"/>
      <c r="R10" s="1554" t="s">
        <v>8</v>
      </c>
      <c r="S10" s="1555">
        <f t="shared" si="0"/>
        <v>0</v>
      </c>
      <c r="T10" s="1554" t="s">
        <v>8</v>
      </c>
      <c r="U10" s="1555">
        <f t="shared" si="1"/>
        <v>0</v>
      </c>
      <c r="V10" s="1554" t="s">
        <v>8</v>
      </c>
      <c r="W10" s="1555">
        <f t="shared" si="2"/>
        <v>0</v>
      </c>
      <c r="X10" s="1556"/>
      <c r="Y10" s="3502" t="s">
        <v>533</v>
      </c>
      <c r="Z10" s="3503"/>
      <c r="AA10" s="1557" t="e">
        <f t="shared" ref="AA10:AA42" si="3">D10/F10</f>
        <v>#DIV/0!</v>
      </c>
      <c r="AB10" s="1557" t="e">
        <f t="shared" ref="AB10:AB42" si="4">D10/H10</f>
        <v>#DIV/0!</v>
      </c>
      <c r="AC10" s="1557" t="e">
        <f t="shared" ref="AC10:AC42" si="5">D10/J10</f>
        <v>#DIV/0!</v>
      </c>
    </row>
    <row r="11" spans="1:29" s="1216" customFormat="1" ht="14.4">
      <c r="A11" s="2867"/>
      <c r="B11" s="2874" t="s">
        <v>2752</v>
      </c>
      <c r="C11" s="526"/>
      <c r="D11" s="254">
        <v>100</v>
      </c>
      <c r="E11" s="526"/>
      <c r="F11" s="254">
        <f>SUMIF(72:72,E11,73:73)-SUMIF(72:72,C11,73:73)+100</f>
        <v>100</v>
      </c>
      <c r="G11" s="526"/>
      <c r="H11" s="254">
        <f>SUMIF(72:72,G11,73:73)-SUMIF(72:72,C11,73:73)+100</f>
        <v>100</v>
      </c>
      <c r="I11" s="526"/>
      <c r="J11" s="254">
        <f>SUMIF(72:72,I11,73:73)-SUMIF(72:72,C11,73:73)+100</f>
        <v>100</v>
      </c>
      <c r="K11" s="524"/>
      <c r="L11" s="2118"/>
      <c r="M11" s="2119"/>
      <c r="N11" s="2119"/>
      <c r="O11" s="2120"/>
      <c r="P11" s="3510" t="s">
        <v>535</v>
      </c>
      <c r="Q11" s="1147" t="str">
        <f t="shared" ref="Q11:Q17" si="6">B11</f>
        <v>用途</v>
      </c>
      <c r="R11" s="1554" t="s">
        <v>8</v>
      </c>
      <c r="S11" s="1555">
        <f t="shared" si="0"/>
        <v>100</v>
      </c>
      <c r="T11" s="1554" t="s">
        <v>8</v>
      </c>
      <c r="U11" s="1555">
        <f t="shared" si="1"/>
        <v>100</v>
      </c>
      <c r="V11" s="1554" t="s">
        <v>8</v>
      </c>
      <c r="W11" s="1555">
        <f t="shared" si="2"/>
        <v>100</v>
      </c>
      <c r="X11" s="1556"/>
      <c r="Y11" s="3467" t="s">
        <v>536</v>
      </c>
      <c r="Z11" s="1146" t="str">
        <f t="shared" ref="Z11:Z17" si="7">Q11</f>
        <v>用途</v>
      </c>
      <c r="AA11" s="1557">
        <f t="shared" si="3"/>
        <v>1</v>
      </c>
      <c r="AB11" s="1557">
        <f t="shared" si="4"/>
        <v>1</v>
      </c>
      <c r="AC11" s="1557">
        <f t="shared" si="5"/>
        <v>1</v>
      </c>
    </row>
    <row r="12" spans="1:29" s="1334" customFormat="1" ht="28.8">
      <c r="A12" s="2868"/>
      <c r="B12" s="2873" t="s">
        <v>2753</v>
      </c>
      <c r="C12" s="528"/>
      <c r="D12" s="255">
        <v>100</v>
      </c>
      <c r="E12" s="528"/>
      <c r="F12" s="255">
        <f>ROUND(100/'数据-取费表'!G16,0)</f>
        <v>105</v>
      </c>
      <c r="G12" s="528"/>
      <c r="H12" s="255">
        <f>ROUND(100/'数据-取费表'!G16,0)</f>
        <v>105</v>
      </c>
      <c r="I12" s="528"/>
      <c r="J12" s="255">
        <f>ROUND(100/'数据-取费表'!G16,0)</f>
        <v>105</v>
      </c>
      <c r="K12" s="531"/>
      <c r="L12" s="2121"/>
      <c r="M12" s="2161"/>
      <c r="N12" s="2161"/>
      <c r="O12" s="2122"/>
      <c r="P12" s="3510"/>
      <c r="Q12" s="1147" t="str">
        <f t="shared" si="6"/>
        <v>土地使用年限（年）</v>
      </c>
      <c r="R12" s="1554" t="s">
        <v>8</v>
      </c>
      <c r="S12" s="1555">
        <f t="shared" si="0"/>
        <v>105</v>
      </c>
      <c r="T12" s="1554" t="s">
        <v>8</v>
      </c>
      <c r="U12" s="1555">
        <f t="shared" si="1"/>
        <v>105</v>
      </c>
      <c r="V12" s="1554" t="s">
        <v>8</v>
      </c>
      <c r="W12" s="1555">
        <f t="shared" si="2"/>
        <v>105</v>
      </c>
      <c r="X12" s="1556"/>
      <c r="Y12" s="3467"/>
      <c r="Z12" s="1146" t="str">
        <f t="shared" si="7"/>
        <v>土地使用年限（年）</v>
      </c>
      <c r="AA12" s="1557">
        <f t="shared" si="3"/>
        <v>0.95238095238095233</v>
      </c>
      <c r="AB12" s="1557">
        <f t="shared" si="4"/>
        <v>0.95238095238095233</v>
      </c>
      <c r="AC12" s="1557">
        <f t="shared" si="5"/>
        <v>0.95238095238095233</v>
      </c>
    </row>
    <row r="13" spans="1:29" ht="15">
      <c r="A13" s="2869"/>
      <c r="B13" s="2873"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3"/>
      <c r="M13" s="2117"/>
      <c r="N13" s="2117"/>
      <c r="O13" s="2124"/>
      <c r="P13" s="3510"/>
      <c r="Q13" s="1147" t="str">
        <f t="shared" si="6"/>
        <v>容积率</v>
      </c>
      <c r="R13" s="1554" t="s">
        <v>8</v>
      </c>
      <c r="S13" s="1555" t="e">
        <f t="shared" si="0"/>
        <v>#N/A</v>
      </c>
      <c r="T13" s="1554" t="s">
        <v>8</v>
      </c>
      <c r="U13" s="1555" t="e">
        <f t="shared" si="1"/>
        <v>#N/A</v>
      </c>
      <c r="V13" s="1554" t="s">
        <v>8</v>
      </c>
      <c r="W13" s="1555" t="e">
        <f t="shared" si="2"/>
        <v>#N/A</v>
      </c>
      <c r="X13" s="1556"/>
      <c r="Y13" s="3467"/>
      <c r="Z13" s="1146" t="str">
        <f t="shared" si="7"/>
        <v>容积率</v>
      </c>
      <c r="AA13" s="1557" t="e">
        <f t="shared" si="3"/>
        <v>#N/A</v>
      </c>
      <c r="AB13" s="1557" t="e">
        <f t="shared" si="4"/>
        <v>#N/A</v>
      </c>
      <c r="AC13" s="1557" t="e">
        <f t="shared" si="5"/>
        <v>#N/A</v>
      </c>
    </row>
    <row r="14" spans="1:29" s="1216" customFormat="1" ht="15">
      <c r="A14" s="2870"/>
      <c r="B14" s="2876">
        <v>111</v>
      </c>
      <c r="C14" s="528"/>
      <c r="D14" s="538">
        <v>100</v>
      </c>
      <c r="E14" s="541"/>
      <c r="F14" s="255">
        <f>SUMIF(79:79,E14,80:80)-SUMIF(79:79,C14,80:80)+100</f>
        <v>100</v>
      </c>
      <c r="G14" s="542"/>
      <c r="H14" s="255">
        <f>SUMIF(79:79,G14,80:80)-SUMIF(79:79,C14,80:80)+100</f>
        <v>100</v>
      </c>
      <c r="I14" s="541"/>
      <c r="J14" s="255">
        <f>SUMIF(79:79,I14,80:80)-SUMIF(79:79,C14,80:80)+100</f>
        <v>100</v>
      </c>
      <c r="K14" s="531"/>
      <c r="L14" s="2118"/>
      <c r="M14" s="2119"/>
      <c r="N14" s="2119"/>
      <c r="O14" s="2120"/>
      <c r="P14" s="3510"/>
      <c r="Q14" s="1147">
        <f t="shared" si="6"/>
        <v>111</v>
      </c>
      <c r="R14" s="1554" t="s">
        <v>8</v>
      </c>
      <c r="S14" s="1555">
        <f t="shared" si="0"/>
        <v>100</v>
      </c>
      <c r="T14" s="1554" t="s">
        <v>8</v>
      </c>
      <c r="U14" s="1555">
        <f t="shared" si="1"/>
        <v>100</v>
      </c>
      <c r="V14" s="1554" t="s">
        <v>8</v>
      </c>
      <c r="W14" s="1555">
        <f t="shared" si="2"/>
        <v>100</v>
      </c>
      <c r="X14" s="1556"/>
      <c r="Y14" s="3467"/>
      <c r="Z14" s="1146">
        <f t="shared" si="7"/>
        <v>111</v>
      </c>
      <c r="AA14" s="1557">
        <f>D14/F14</f>
        <v>1</v>
      </c>
      <c r="AB14" s="1557">
        <f>D14/H14</f>
        <v>1</v>
      </c>
      <c r="AC14" s="1557">
        <f>D14/J14</f>
        <v>1</v>
      </c>
    </row>
    <row r="15" spans="1:29" ht="15">
      <c r="A15" s="2870"/>
      <c r="B15" s="2876">
        <v>111</v>
      </c>
      <c r="C15" s="539"/>
      <c r="D15" s="540">
        <v>100</v>
      </c>
      <c r="E15" s="541"/>
      <c r="F15" s="255">
        <f>SUMIF(81:81,E15,82:82)-SUMIF(81:81,C15,82:82)+100</f>
        <v>100</v>
      </c>
      <c r="G15" s="542"/>
      <c r="H15" s="540">
        <f>SUMIF(81:81,G15,82:82)-SUMIF(81:81,C15,82:82)+100</f>
        <v>100</v>
      </c>
      <c r="I15" s="541"/>
      <c r="J15" s="540">
        <f>SUMIF(81:81,I15,82:82)-SUMIF(81:81,C15,82:82)+100</f>
        <v>100</v>
      </c>
      <c r="K15" s="531"/>
      <c r="L15" s="2125"/>
      <c r="M15" s="2117"/>
      <c r="N15" s="2117"/>
      <c r="O15" s="2124"/>
      <c r="P15" s="3510"/>
      <c r="Q15" s="1147">
        <f t="shared" si="6"/>
        <v>111</v>
      </c>
      <c r="R15" s="1554" t="s">
        <v>8</v>
      </c>
      <c r="S15" s="1555">
        <f t="shared" si="0"/>
        <v>100</v>
      </c>
      <c r="T15" s="1554" t="s">
        <v>8</v>
      </c>
      <c r="U15" s="1555">
        <f t="shared" si="1"/>
        <v>100</v>
      </c>
      <c r="V15" s="1554" t="s">
        <v>8</v>
      </c>
      <c r="W15" s="1555">
        <f t="shared" si="2"/>
        <v>100</v>
      </c>
      <c r="X15" s="1556"/>
      <c r="Y15" s="3467"/>
      <c r="Z15" s="1146">
        <f t="shared" si="7"/>
        <v>111</v>
      </c>
      <c r="AA15" s="1557">
        <f t="shared" si="3"/>
        <v>1</v>
      </c>
      <c r="AB15" s="1557">
        <f t="shared" si="4"/>
        <v>1</v>
      </c>
      <c r="AC15" s="1557">
        <f t="shared" si="5"/>
        <v>1</v>
      </c>
    </row>
    <row r="16" spans="1:29" ht="15.6" thickBot="1">
      <c r="A16" s="2871"/>
      <c r="B16" s="2877">
        <v>111</v>
      </c>
      <c r="C16" s="545"/>
      <c r="D16" s="546">
        <v>100</v>
      </c>
      <c r="E16" s="541"/>
      <c r="F16" s="546">
        <f>SUMIF(83:83,E16,84:84)-SUMIF(83:83,C16,84:84)+100</f>
        <v>100</v>
      </c>
      <c r="G16" s="542"/>
      <c r="H16" s="546">
        <f>SUMIF(83:83,G16,84:84)-SUMIF(83:83,C16,84:84)+100</f>
        <v>100</v>
      </c>
      <c r="I16" s="541"/>
      <c r="J16" s="546">
        <f>SUMIF(83:83,I16,84:84)-SUMIF(83:83,C16,84:84)+100</f>
        <v>100</v>
      </c>
      <c r="K16" s="531"/>
      <c r="L16" s="2125"/>
      <c r="M16" s="2117"/>
      <c r="N16" s="2117"/>
      <c r="O16" s="2124"/>
      <c r="P16" s="3510"/>
      <c r="Q16" s="1147">
        <f t="shared" si="6"/>
        <v>111</v>
      </c>
      <c r="R16" s="1554" t="s">
        <v>8</v>
      </c>
      <c r="S16" s="1555">
        <f t="shared" si="0"/>
        <v>100</v>
      </c>
      <c r="T16" s="1554" t="s">
        <v>8</v>
      </c>
      <c r="U16" s="1555">
        <f t="shared" si="1"/>
        <v>100</v>
      </c>
      <c r="V16" s="1554" t="s">
        <v>8</v>
      </c>
      <c r="W16" s="1555">
        <f t="shared" si="2"/>
        <v>100</v>
      </c>
      <c r="X16" s="1556"/>
      <c r="Y16" s="3467"/>
      <c r="Z16" s="1146">
        <f t="shared" si="7"/>
        <v>111</v>
      </c>
      <c r="AA16" s="1557">
        <f t="shared" si="3"/>
        <v>1</v>
      </c>
      <c r="AB16" s="1557">
        <f t="shared" si="4"/>
        <v>1</v>
      </c>
      <c r="AC16" s="1557">
        <f t="shared" si="5"/>
        <v>1</v>
      </c>
    </row>
    <row r="17" spans="1:29" ht="69">
      <c r="A17" s="2863" t="s">
        <v>2750</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5"/>
      <c r="M17" s="2117"/>
      <c r="N17" s="2117"/>
      <c r="O17" s="2124"/>
      <c r="P17" s="3512" t="s">
        <v>540</v>
      </c>
      <c r="Q17" s="1558" t="str">
        <f t="shared" si="6"/>
        <v>产业集聚程度</v>
      </c>
      <c r="R17" s="1559" t="s">
        <v>8</v>
      </c>
      <c r="S17" s="1560">
        <f t="shared" si="0"/>
        <v>100</v>
      </c>
      <c r="T17" s="1559" t="s">
        <v>8</v>
      </c>
      <c r="U17" s="1560">
        <f t="shared" si="1"/>
        <v>100</v>
      </c>
      <c r="V17" s="1559" t="s">
        <v>8</v>
      </c>
      <c r="W17" s="1560">
        <f t="shared" si="2"/>
        <v>100</v>
      </c>
      <c r="X17" s="1553"/>
      <c r="Y17" s="3512" t="s">
        <v>540</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5"/>
      <c r="M18" s="2117"/>
      <c r="N18" s="2117"/>
      <c r="O18" s="2124"/>
      <c r="P18" s="3513"/>
      <c r="Q18" s="1558"/>
      <c r="R18" s="1559"/>
      <c r="S18" s="1560"/>
      <c r="T18" s="1559"/>
      <c r="U18" s="1560"/>
      <c r="V18" s="1559"/>
      <c r="W18" s="1560"/>
      <c r="X18" s="1553"/>
      <c r="Y18" s="3513"/>
      <c r="Z18" s="1561"/>
      <c r="AA18" s="1562">
        <v>1</v>
      </c>
      <c r="AB18" s="1562">
        <v>1</v>
      </c>
      <c r="AC18" s="1562">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5"/>
      <c r="M19" s="2117"/>
      <c r="N19" s="2117"/>
      <c r="O19" s="2124"/>
      <c r="P19" s="3513"/>
      <c r="Q19" s="1558" t="str">
        <f>B19</f>
        <v>交通便捷度</v>
      </c>
      <c r="R19" s="1559" t="s">
        <v>8</v>
      </c>
      <c r="S19" s="1560">
        <f>F19</f>
        <v>100</v>
      </c>
      <c r="T19" s="1559" t="s">
        <v>8</v>
      </c>
      <c r="U19" s="1560">
        <f>H19</f>
        <v>100</v>
      </c>
      <c r="V19" s="1559" t="s">
        <v>8</v>
      </c>
      <c r="W19" s="1560">
        <f>J19</f>
        <v>100</v>
      </c>
      <c r="X19" s="1553"/>
      <c r="Y19" s="3513"/>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5"/>
      <c r="M20" s="2117"/>
      <c r="N20" s="2117"/>
      <c r="O20" s="2124"/>
      <c r="P20" s="3513"/>
      <c r="Q20" s="1558"/>
      <c r="R20" s="1559"/>
      <c r="S20" s="1560"/>
      <c r="T20" s="1559"/>
      <c r="U20" s="1560"/>
      <c r="V20" s="1559"/>
      <c r="W20" s="1560"/>
      <c r="X20" s="1553"/>
      <c r="Y20" s="3513"/>
      <c r="Z20" s="1561"/>
      <c r="AA20" s="1562">
        <v>1</v>
      </c>
      <c r="AB20" s="1562">
        <v>1</v>
      </c>
      <c r="AC20" s="1562">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5"/>
      <c r="M21" s="2117"/>
      <c r="N21" s="2117"/>
      <c r="O21" s="2124"/>
      <c r="P21" s="3513"/>
      <c r="Q21" s="1558" t="str">
        <f t="shared" ref="Q21:Q35" si="8">B21</f>
        <v>区域土地利用方向</v>
      </c>
      <c r="R21" s="1559" t="s">
        <v>8</v>
      </c>
      <c r="S21" s="1560">
        <f>F21</f>
        <v>100</v>
      </c>
      <c r="T21" s="1559" t="s">
        <v>8</v>
      </c>
      <c r="U21" s="1560">
        <f>H21</f>
        <v>100</v>
      </c>
      <c r="V21" s="1559" t="s">
        <v>8</v>
      </c>
      <c r="W21" s="1560">
        <f>J21</f>
        <v>100</v>
      </c>
      <c r="X21" s="1553"/>
      <c r="Y21" s="3513"/>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4"/>
      <c r="L22" s="2125"/>
      <c r="M22" s="2117"/>
      <c r="N22" s="2117"/>
      <c r="O22" s="2124"/>
      <c r="P22" s="3513"/>
      <c r="Q22" s="1558"/>
      <c r="R22" s="1559"/>
      <c r="S22" s="1560"/>
      <c r="T22" s="1559"/>
      <c r="U22" s="1560"/>
      <c r="V22" s="1559"/>
      <c r="W22" s="1560"/>
      <c r="X22" s="1553"/>
      <c r="Y22" s="3513"/>
      <c r="Z22" s="1561"/>
      <c r="AA22" s="1562"/>
      <c r="AB22" s="1562"/>
      <c r="AC22" s="1562"/>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5"/>
      <c r="M23" s="2117"/>
      <c r="N23" s="2117"/>
      <c r="O23" s="2124"/>
      <c r="P23" s="3513"/>
      <c r="Q23" s="1558" t="str">
        <f t="shared" si="8"/>
        <v>环境状况</v>
      </c>
      <c r="R23" s="1559" t="s">
        <v>8</v>
      </c>
      <c r="S23" s="1560">
        <f>F23</f>
        <v>100</v>
      </c>
      <c r="T23" s="1559" t="s">
        <v>8</v>
      </c>
      <c r="U23" s="1560">
        <f>H23</f>
        <v>100</v>
      </c>
      <c r="V23" s="1559" t="s">
        <v>8</v>
      </c>
      <c r="W23" s="1560">
        <f>J23</f>
        <v>100</v>
      </c>
      <c r="X23" s="1553"/>
      <c r="Y23" s="3513"/>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5"/>
      <c r="M24" s="2117"/>
      <c r="N24" s="2117"/>
      <c r="O24" s="2124"/>
      <c r="P24" s="3513"/>
      <c r="Q24" s="1558"/>
      <c r="R24" s="1559"/>
      <c r="S24" s="1560"/>
      <c r="T24" s="1559"/>
      <c r="U24" s="1560"/>
      <c r="V24" s="1559"/>
      <c r="W24" s="1560"/>
      <c r="X24" s="1553"/>
      <c r="Y24" s="3513"/>
      <c r="Z24" s="1561"/>
      <c r="AA24" s="1562">
        <v>1</v>
      </c>
      <c r="AB24" s="1562">
        <v>1</v>
      </c>
      <c r="AC24" s="1562">
        <v>1</v>
      </c>
    </row>
    <row r="25" spans="1:29" s="1216" customFormat="1" ht="41.4">
      <c r="A25" s="577"/>
      <c r="B25" s="2555" t="s">
        <v>2545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18"/>
      <c r="M25" s="2119"/>
      <c r="N25" s="2119"/>
      <c r="O25" s="2120"/>
      <c r="P25" s="3513"/>
      <c r="Q25" s="1147" t="str">
        <f t="shared" si="8"/>
        <v>公共配套设施</v>
      </c>
      <c r="R25" s="1554" t="s">
        <v>8</v>
      </c>
      <c r="S25" s="1555">
        <f>F25</f>
        <v>100</v>
      </c>
      <c r="T25" s="1554" t="s">
        <v>8</v>
      </c>
      <c r="U25" s="1555">
        <f>H25</f>
        <v>100</v>
      </c>
      <c r="V25" s="1554" t="s">
        <v>8</v>
      </c>
      <c r="W25" s="1555">
        <f>J25</f>
        <v>100</v>
      </c>
      <c r="X25" s="1556"/>
      <c r="Y25" s="3513"/>
      <c r="Z25" s="1146" t="str">
        <f>Q25</f>
        <v>公共配套设施</v>
      </c>
      <c r="AA25" s="1562">
        <f>D25/F25</f>
        <v>1</v>
      </c>
      <c r="AB25" s="1562">
        <f>D25/H25</f>
        <v>1</v>
      </c>
      <c r="AC25" s="1562">
        <f>D25/J25</f>
        <v>1</v>
      </c>
    </row>
    <row r="26" spans="1:29" s="1216" customFormat="1" ht="15">
      <c r="A26" s="577"/>
      <c r="B26" s="595"/>
      <c r="C26" s="2554"/>
      <c r="D26" s="555"/>
      <c r="E26" s="554"/>
      <c r="F26" s="555"/>
      <c r="G26" s="554"/>
      <c r="H26" s="555"/>
      <c r="I26" s="576"/>
      <c r="J26" s="555"/>
      <c r="K26" s="531"/>
      <c r="L26" s="2118"/>
      <c r="M26" s="2119"/>
      <c r="N26" s="2119"/>
      <c r="O26" s="2120"/>
      <c r="P26" s="3513"/>
      <c r="Q26" s="1147"/>
      <c r="R26" s="1554"/>
      <c r="S26" s="1555"/>
      <c r="T26" s="1554"/>
      <c r="U26" s="1555"/>
      <c r="V26" s="1554"/>
      <c r="W26" s="1555"/>
      <c r="X26" s="1556"/>
      <c r="Y26" s="3513"/>
      <c r="Z26" s="1146"/>
      <c r="AA26" s="1557">
        <v>1</v>
      </c>
      <c r="AB26" s="1557">
        <v>1</v>
      </c>
      <c r="AC26" s="1557">
        <v>1</v>
      </c>
    </row>
    <row r="27" spans="1:29" s="1216" customFormat="1" ht="41.4">
      <c r="A27" s="577"/>
      <c r="B27" s="2555" t="s">
        <v>2546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18"/>
      <c r="M27" s="2119"/>
      <c r="N27" s="2119"/>
      <c r="O27" s="2120"/>
      <c r="P27" s="3513"/>
      <c r="Q27" s="2540" t="str">
        <f t="shared" ref="Q27" si="9">B27</f>
        <v>基础设施水平</v>
      </c>
      <c r="R27" s="1554" t="s">
        <v>8</v>
      </c>
      <c r="S27" s="1555">
        <f>F27</f>
        <v>100</v>
      </c>
      <c r="T27" s="1554" t="s">
        <v>8</v>
      </c>
      <c r="U27" s="1555">
        <f>H27</f>
        <v>100</v>
      </c>
      <c r="V27" s="1554" t="s">
        <v>8</v>
      </c>
      <c r="W27" s="1555">
        <f>J27</f>
        <v>100</v>
      </c>
      <c r="X27" s="1556"/>
      <c r="Y27" s="3513"/>
      <c r="Z27" s="2537" t="str">
        <f>Q27</f>
        <v>基础设施水平</v>
      </c>
      <c r="AA27" s="1562">
        <f>D27/F27</f>
        <v>1</v>
      </c>
      <c r="AB27" s="1562">
        <f>D27/H27</f>
        <v>1</v>
      </c>
      <c r="AC27" s="1562">
        <f>D27/J27</f>
        <v>1</v>
      </c>
    </row>
    <row r="28" spans="1:29" s="1216" customFormat="1" ht="15">
      <c r="A28" s="577"/>
      <c r="B28" s="595"/>
      <c r="C28" s="2554"/>
      <c r="D28" s="555"/>
      <c r="E28" s="579"/>
      <c r="F28" s="555"/>
      <c r="G28" s="579"/>
      <c r="H28" s="555"/>
      <c r="I28" s="579"/>
      <c r="J28" s="555"/>
      <c r="K28" s="531"/>
      <c r="L28" s="2118"/>
      <c r="M28" s="2119"/>
      <c r="N28" s="2119"/>
      <c r="O28" s="2120"/>
      <c r="P28" s="3513"/>
      <c r="Q28" s="2540"/>
      <c r="R28" s="1554"/>
      <c r="S28" s="1555"/>
      <c r="T28" s="1554"/>
      <c r="U28" s="1555"/>
      <c r="V28" s="1554"/>
      <c r="W28" s="1555"/>
      <c r="X28" s="1556"/>
      <c r="Y28" s="3513"/>
      <c r="Z28" s="2537"/>
      <c r="AA28" s="1557">
        <v>1</v>
      </c>
      <c r="AB28" s="1557">
        <v>1</v>
      </c>
      <c r="AC28" s="155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5"/>
      <c r="M29" s="2117"/>
      <c r="N29" s="2117"/>
      <c r="O29" s="2124"/>
      <c r="P29" s="3513"/>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513"/>
      <c r="Z29" s="1561" t="str">
        <f t="shared" ref="Z29:Z42" si="13">Q29</f>
        <v>临街状况</v>
      </c>
      <c r="AA29" s="1562">
        <f t="shared" si="3"/>
        <v>1</v>
      </c>
      <c r="AB29" s="1562">
        <f t="shared" si="4"/>
        <v>1</v>
      </c>
      <c r="AC29" s="1562">
        <f t="shared" si="5"/>
        <v>1</v>
      </c>
    </row>
    <row r="30" spans="1:29" ht="28.8">
      <c r="A30" s="532"/>
      <c r="B30" s="922" t="s">
        <v>548</v>
      </c>
      <c r="C30" s="255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5"/>
      <c r="M30" s="2117"/>
      <c r="N30" s="2117"/>
      <c r="O30" s="2124"/>
      <c r="P30" s="3513"/>
      <c r="Q30" s="1558" t="str">
        <f t="shared" si="8"/>
        <v>毗邻道路的类型与等级</v>
      </c>
      <c r="R30" s="1559" t="s">
        <v>8</v>
      </c>
      <c r="S30" s="1560">
        <f t="shared" si="10"/>
        <v>100</v>
      </c>
      <c r="T30" s="1559" t="s">
        <v>8</v>
      </c>
      <c r="U30" s="1560">
        <f t="shared" si="11"/>
        <v>100</v>
      </c>
      <c r="V30" s="1559" t="s">
        <v>8</v>
      </c>
      <c r="W30" s="1560">
        <f t="shared" si="12"/>
        <v>100</v>
      </c>
      <c r="X30" s="1553"/>
      <c r="Y30" s="3513"/>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5"/>
      <c r="M31" s="2117"/>
      <c r="N31" s="2117"/>
      <c r="O31" s="2124"/>
      <c r="P31" s="3513"/>
      <c r="Q31" s="1558"/>
      <c r="R31" s="1559"/>
      <c r="S31" s="1560"/>
      <c r="T31" s="1559"/>
      <c r="U31" s="1560"/>
      <c r="V31" s="1559"/>
      <c r="W31" s="1560"/>
      <c r="X31" s="1553"/>
      <c r="Y31" s="3513"/>
      <c r="Z31" s="1561"/>
      <c r="AA31" s="1562">
        <v>1</v>
      </c>
      <c r="AB31" s="1562">
        <v>1</v>
      </c>
      <c r="AC31" s="1562">
        <v>1</v>
      </c>
    </row>
    <row r="32" spans="1:29" ht="15">
      <c r="A32" s="532"/>
      <c r="B32" s="527" t="s">
        <v>549</v>
      </c>
      <c r="C32" s="255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5"/>
      <c r="M32" s="2117"/>
      <c r="N32" s="2117"/>
      <c r="O32" s="2124"/>
      <c r="P32" s="3513"/>
      <c r="Q32" s="1558" t="str">
        <f t="shared" si="8"/>
        <v>土地级别</v>
      </c>
      <c r="R32" s="1559" t="s">
        <v>8</v>
      </c>
      <c r="S32" s="1560">
        <f t="shared" si="10"/>
        <v>100</v>
      </c>
      <c r="T32" s="1559" t="s">
        <v>8</v>
      </c>
      <c r="U32" s="1560">
        <f t="shared" si="11"/>
        <v>100</v>
      </c>
      <c r="V32" s="1559" t="s">
        <v>8</v>
      </c>
      <c r="W32" s="1560">
        <f t="shared" si="12"/>
        <v>100</v>
      </c>
      <c r="X32" s="1553"/>
      <c r="Y32" s="3513"/>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5"/>
      <c r="M33" s="2117"/>
      <c r="N33" s="2117"/>
      <c r="O33" s="2124"/>
      <c r="P33" s="3513"/>
      <c r="Q33" s="1558">
        <f t="shared" si="8"/>
        <v>111</v>
      </c>
      <c r="R33" s="1559" t="s">
        <v>8</v>
      </c>
      <c r="S33" s="1560">
        <f t="shared" si="10"/>
        <v>100</v>
      </c>
      <c r="T33" s="1559" t="s">
        <v>8</v>
      </c>
      <c r="U33" s="1560">
        <f t="shared" si="11"/>
        <v>100</v>
      </c>
      <c r="V33" s="1559" t="s">
        <v>8</v>
      </c>
      <c r="W33" s="1560">
        <f t="shared" si="12"/>
        <v>100</v>
      </c>
      <c r="X33" s="1553"/>
      <c r="Y33" s="3513"/>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5"/>
      <c r="M34" s="2117"/>
      <c r="N34" s="2117"/>
      <c r="O34" s="2124"/>
      <c r="P34" s="3514" t="s">
        <v>550</v>
      </c>
      <c r="Q34" s="1558">
        <f t="shared" si="8"/>
        <v>111</v>
      </c>
      <c r="R34" s="1559" t="s">
        <v>8</v>
      </c>
      <c r="S34" s="1560">
        <f t="shared" si="10"/>
        <v>100</v>
      </c>
      <c r="T34" s="1559" t="s">
        <v>8</v>
      </c>
      <c r="U34" s="1560">
        <f t="shared" si="11"/>
        <v>100</v>
      </c>
      <c r="V34" s="1559" t="s">
        <v>8</v>
      </c>
      <c r="W34" s="1560">
        <f t="shared" si="12"/>
        <v>100</v>
      </c>
      <c r="X34" s="1553"/>
      <c r="Y34" s="3515" t="s">
        <v>550</v>
      </c>
      <c r="Z34" s="1561">
        <f t="shared" si="13"/>
        <v>111</v>
      </c>
      <c r="AA34" s="1562">
        <f t="shared" si="3"/>
        <v>1</v>
      </c>
      <c r="AB34" s="1562">
        <f t="shared" si="4"/>
        <v>1</v>
      </c>
      <c r="AC34" s="1562">
        <f t="shared" si="5"/>
        <v>1</v>
      </c>
    </row>
    <row r="35" spans="1:29" s="1335" customFormat="1" ht="15.6" thickBot="1">
      <c r="A35" s="589"/>
      <c r="B35" s="255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3"/>
      <c r="M35" s="2154"/>
      <c r="N35" s="2154"/>
      <c r="O35" s="2126"/>
      <c r="P35" s="3515"/>
      <c r="Q35" s="1558">
        <f t="shared" si="8"/>
        <v>111</v>
      </c>
      <c r="R35" s="1563" t="s">
        <v>8</v>
      </c>
      <c r="S35" s="1564">
        <f t="shared" si="10"/>
        <v>100</v>
      </c>
      <c r="T35" s="1563" t="s">
        <v>8</v>
      </c>
      <c r="U35" s="1564">
        <f t="shared" si="11"/>
        <v>100</v>
      </c>
      <c r="V35" s="1563" t="s">
        <v>8</v>
      </c>
      <c r="W35" s="1564">
        <f t="shared" si="12"/>
        <v>100</v>
      </c>
      <c r="X35" s="1565"/>
      <c r="Y35" s="3515"/>
      <c r="Z35" s="1566">
        <f t="shared" si="13"/>
        <v>111</v>
      </c>
      <c r="AA35" s="1562">
        <f t="shared" si="3"/>
        <v>1</v>
      </c>
      <c r="AB35" s="1562">
        <f t="shared" si="4"/>
        <v>1</v>
      </c>
      <c r="AC35" s="1562">
        <f t="shared" si="5"/>
        <v>1</v>
      </c>
    </row>
    <row r="36" spans="1:29" ht="15">
      <c r="A36" s="2860" t="s">
        <v>2751</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5"/>
      <c r="M36" s="2117"/>
      <c r="N36" s="2117"/>
      <c r="O36" s="2124"/>
      <c r="P36" s="3515"/>
      <c r="Q36" s="1558" t="str">
        <f>B36</f>
        <v>宗地面积</v>
      </c>
      <c r="R36" s="1559" t="s">
        <v>8</v>
      </c>
      <c r="S36" s="1560" t="e">
        <f t="shared" si="10"/>
        <v>#N/A</v>
      </c>
      <c r="T36" s="1559" t="s">
        <v>8</v>
      </c>
      <c r="U36" s="1560" t="e">
        <f t="shared" si="11"/>
        <v>#N/A</v>
      </c>
      <c r="V36" s="1559" t="s">
        <v>8</v>
      </c>
      <c r="W36" s="1560" t="e">
        <f t="shared" si="12"/>
        <v>#N/A</v>
      </c>
      <c r="X36" s="1553"/>
      <c r="Y36" s="3515"/>
      <c r="Z36" s="1561" t="str">
        <f t="shared" si="13"/>
        <v>宗地面积</v>
      </c>
      <c r="AA36" s="1562" t="e">
        <f t="shared" si="3"/>
        <v>#N/A</v>
      </c>
      <c r="AB36" s="1562" t="e">
        <f t="shared" si="4"/>
        <v>#N/A</v>
      </c>
      <c r="AC36" s="156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5"/>
      <c r="M37" s="2117"/>
      <c r="N37" s="2117"/>
      <c r="O37" s="2124"/>
      <c r="P37" s="3515"/>
      <c r="Q37" s="1558" t="str">
        <f t="shared" ref="Q37:Q42" si="14">B37</f>
        <v>宗地形状</v>
      </c>
      <c r="R37" s="1559" t="s">
        <v>8</v>
      </c>
      <c r="S37" s="1560">
        <f t="shared" si="10"/>
        <v>100</v>
      </c>
      <c r="T37" s="1559" t="s">
        <v>8</v>
      </c>
      <c r="U37" s="1560">
        <f t="shared" si="11"/>
        <v>100</v>
      </c>
      <c r="V37" s="1559" t="s">
        <v>8</v>
      </c>
      <c r="W37" s="1560">
        <f t="shared" si="12"/>
        <v>100</v>
      </c>
      <c r="X37" s="1553"/>
      <c r="Y37" s="3515"/>
      <c r="Z37" s="1561" t="str">
        <f t="shared" si="13"/>
        <v>宗地形状</v>
      </c>
      <c r="AA37" s="1562">
        <f t="shared" si="3"/>
        <v>1</v>
      </c>
      <c r="AB37" s="1562">
        <f t="shared" si="4"/>
        <v>1</v>
      </c>
      <c r="AC37" s="1562">
        <f t="shared" si="5"/>
        <v>1</v>
      </c>
    </row>
    <row r="38" spans="1:29" s="1216" customFormat="1" ht="15">
      <c r="A38" s="600"/>
      <c r="B38" s="1878" t="s">
        <v>2421</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8"/>
      <c r="M38" s="2119"/>
      <c r="N38" s="2119"/>
      <c r="O38" s="2120"/>
      <c r="P38" s="3515"/>
      <c r="Q38" s="1558" t="str">
        <f t="shared" si="14"/>
        <v>宗地开发程度</v>
      </c>
      <c r="R38" s="1554" t="s">
        <v>8</v>
      </c>
      <c r="S38" s="1555">
        <f t="shared" si="10"/>
        <v>100</v>
      </c>
      <c r="T38" s="1554" t="s">
        <v>8</v>
      </c>
      <c r="U38" s="1555">
        <f t="shared" si="11"/>
        <v>100</v>
      </c>
      <c r="V38" s="1554" t="s">
        <v>8</v>
      </c>
      <c r="W38" s="1555">
        <f t="shared" si="12"/>
        <v>100</v>
      </c>
      <c r="X38" s="1556"/>
      <c r="Y38" s="3515"/>
      <c r="Z38" s="1146" t="str">
        <f t="shared" si="13"/>
        <v>宗地开发程度</v>
      </c>
      <c r="AA38" s="1557">
        <f t="shared" si="3"/>
        <v>1</v>
      </c>
      <c r="AB38" s="1557">
        <f t="shared" si="4"/>
        <v>1</v>
      </c>
      <c r="AC38" s="155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5"/>
      <c r="M39" s="2117"/>
      <c r="N39" s="2117"/>
      <c r="O39" s="2124"/>
      <c r="P39" s="3515" t="s">
        <v>601</v>
      </c>
      <c r="Q39" s="1558" t="str">
        <f t="shared" si="14"/>
        <v>工程地质条件</v>
      </c>
      <c r="R39" s="1559" t="s">
        <v>8</v>
      </c>
      <c r="S39" s="1560">
        <f t="shared" si="10"/>
        <v>100</v>
      </c>
      <c r="T39" s="1559" t="s">
        <v>8</v>
      </c>
      <c r="U39" s="1560">
        <f t="shared" si="11"/>
        <v>100</v>
      </c>
      <c r="V39" s="1559" t="s">
        <v>8</v>
      </c>
      <c r="W39" s="1560">
        <f t="shared" si="12"/>
        <v>100</v>
      </c>
      <c r="X39" s="1553"/>
      <c r="Y39" s="3515" t="s">
        <v>601</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5"/>
      <c r="M40" s="2117"/>
      <c r="N40" s="2117"/>
      <c r="O40" s="2124"/>
      <c r="P40" s="3515"/>
      <c r="Q40" s="1558">
        <f t="shared" si="14"/>
        <v>111</v>
      </c>
      <c r="R40" s="1559" t="s">
        <v>8</v>
      </c>
      <c r="S40" s="1560">
        <f t="shared" si="10"/>
        <v>100</v>
      </c>
      <c r="T40" s="1559" t="s">
        <v>8</v>
      </c>
      <c r="U40" s="1560">
        <f t="shared" si="11"/>
        <v>100</v>
      </c>
      <c r="V40" s="1559" t="s">
        <v>8</v>
      </c>
      <c r="W40" s="1560">
        <f t="shared" si="12"/>
        <v>100</v>
      </c>
      <c r="X40" s="1553"/>
      <c r="Y40" s="3515"/>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5"/>
      <c r="M41" s="2117"/>
      <c r="N41" s="2117"/>
      <c r="O41" s="2124"/>
      <c r="P41" s="3515"/>
      <c r="Q41" s="1558">
        <f t="shared" si="14"/>
        <v>111</v>
      </c>
      <c r="R41" s="1559" t="s">
        <v>8</v>
      </c>
      <c r="S41" s="1560">
        <f t="shared" si="10"/>
        <v>100</v>
      </c>
      <c r="T41" s="1559" t="s">
        <v>8</v>
      </c>
      <c r="U41" s="1560">
        <f t="shared" si="11"/>
        <v>100</v>
      </c>
      <c r="V41" s="1559" t="s">
        <v>8</v>
      </c>
      <c r="W41" s="1560">
        <f t="shared" si="12"/>
        <v>100</v>
      </c>
      <c r="X41" s="1553"/>
      <c r="Y41" s="3515"/>
      <c r="Z41" s="1561">
        <f t="shared" si="13"/>
        <v>111</v>
      </c>
      <c r="AA41" s="1562">
        <f t="shared" si="3"/>
        <v>1</v>
      </c>
      <c r="AB41" s="1562">
        <f t="shared" si="4"/>
        <v>1</v>
      </c>
      <c r="AC41" s="1562">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3"/>
      <c r="M42" s="2154"/>
      <c r="N42" s="2154"/>
      <c r="O42" s="2126"/>
      <c r="P42" s="3515"/>
      <c r="Q42" s="1558">
        <f t="shared" si="14"/>
        <v>111</v>
      </c>
      <c r="R42" s="1563" t="s">
        <v>8</v>
      </c>
      <c r="S42" s="1564">
        <f t="shared" si="10"/>
        <v>100</v>
      </c>
      <c r="T42" s="1563" t="s">
        <v>8</v>
      </c>
      <c r="U42" s="1564">
        <f t="shared" si="11"/>
        <v>100</v>
      </c>
      <c r="V42" s="1563" t="s">
        <v>8</v>
      </c>
      <c r="W42" s="1564">
        <f t="shared" si="12"/>
        <v>100</v>
      </c>
      <c r="X42" s="1565"/>
      <c r="Y42" s="3515"/>
      <c r="Z42" s="1566">
        <f t="shared" si="13"/>
        <v>111</v>
      </c>
      <c r="AA42" s="1562">
        <f t="shared" si="3"/>
        <v>1</v>
      </c>
      <c r="AB42" s="1562">
        <f t="shared" si="4"/>
        <v>1</v>
      </c>
      <c r="AC42" s="1562">
        <f t="shared" si="5"/>
        <v>1</v>
      </c>
    </row>
    <row r="43" spans="1:29" ht="14.4">
      <c r="A43" s="607" t="s">
        <v>556</v>
      </c>
      <c r="B43" s="608" t="s">
        <v>2928</v>
      </c>
      <c r="C43" s="609" t="s">
        <v>1</v>
      </c>
      <c r="D43" s="610"/>
      <c r="E43" s="611"/>
      <c r="F43" s="612"/>
      <c r="G43" s="613"/>
      <c r="H43" s="614"/>
      <c r="I43" s="611"/>
      <c r="J43" s="614"/>
      <c r="K43" s="1336"/>
      <c r="L43" s="2127"/>
      <c r="M43" s="2117"/>
      <c r="N43" s="2117"/>
      <c r="O43" s="2128"/>
      <c r="P43" s="3510" t="str">
        <f>A43</f>
        <v>成交单价</v>
      </c>
      <c r="Q43" s="3510"/>
      <c r="R43" s="3524">
        <f>E43</f>
        <v>0</v>
      </c>
      <c r="S43" s="3524"/>
      <c r="T43" s="3524">
        <f>G43</f>
        <v>0</v>
      </c>
      <c r="U43" s="3524"/>
      <c r="V43" s="3524">
        <f>I43</f>
        <v>0</v>
      </c>
      <c r="W43" s="3524"/>
      <c r="X43" s="1545"/>
      <c r="Y43" s="1567"/>
      <c r="Z43" s="1545"/>
      <c r="AA43" s="1545"/>
      <c r="AB43" s="1545"/>
      <c r="AC43" s="1545"/>
    </row>
    <row r="44" spans="1:29" ht="15" thickBot="1">
      <c r="A44" s="615" t="s">
        <v>2689</v>
      </c>
      <c r="B44" s="616"/>
      <c r="C44" s="617" t="e">
        <f>R45</f>
        <v>#DIV/0!</v>
      </c>
      <c r="D44" s="618"/>
      <c r="E44" s="617" t="e">
        <f>R44</f>
        <v>#DIV/0!</v>
      </c>
      <c r="F44" s="619"/>
      <c r="G44" s="620" t="e">
        <f>T44</f>
        <v>#DIV/0!</v>
      </c>
      <c r="H44" s="618"/>
      <c r="I44" s="617" t="e">
        <f>V44</f>
        <v>#DIV/0!</v>
      </c>
      <c r="J44" s="618"/>
      <c r="K44" s="1337"/>
      <c r="L44" s="2127"/>
      <c r="M44" s="2117"/>
      <c r="N44" s="2117"/>
      <c r="O44" s="2128"/>
      <c r="P44" s="3510" t="str">
        <f>A44</f>
        <v>比较价格（元/平方米）</v>
      </c>
      <c r="Q44" s="3510"/>
      <c r="R44" s="3534" t="e">
        <f>ROUND(PRODUCT(R43,AA9:AA42),0)</f>
        <v>#DIV/0!</v>
      </c>
      <c r="S44" s="3534"/>
      <c r="T44" s="3534" t="e">
        <f>ROUND(PRODUCT(T43,AB9:AB42),0)</f>
        <v>#DIV/0!</v>
      </c>
      <c r="U44" s="3534"/>
      <c r="V44" s="3534" t="e">
        <f>ROUND(PRODUCT(V43,AC9:AC42),0)</f>
        <v>#DIV/0!</v>
      </c>
      <c r="W44" s="3534"/>
      <c r="X44" s="1545"/>
      <c r="Y44" s="1545"/>
      <c r="Z44" s="1545"/>
      <c r="AA44" s="1545"/>
      <c r="AB44" s="1545"/>
      <c r="AC44" s="1545"/>
    </row>
    <row r="45" spans="1:29" ht="15" thickBot="1">
      <c r="A45" s="621" t="s">
        <v>2929</v>
      </c>
      <c r="B45" s="622"/>
      <c r="C45" s="623" t="e">
        <f>R45</f>
        <v>#DIV/0!</v>
      </c>
      <c r="D45" s="623"/>
      <c r="E45" s="623"/>
      <c r="F45" s="623"/>
      <c r="G45" s="623"/>
      <c r="H45" s="623"/>
      <c r="I45" s="623"/>
      <c r="J45" s="623"/>
      <c r="K45" s="1338"/>
      <c r="L45" s="2127"/>
      <c r="M45" s="2117"/>
      <c r="N45" s="2117"/>
      <c r="O45" s="2128"/>
      <c r="P45" s="3531" t="str">
        <f>A45</f>
        <v>估价对象XX用房的比较价格（楼面单价，元/平方米）</v>
      </c>
      <c r="Q45" s="3532"/>
      <c r="R45" s="3533" t="e">
        <f>ROUND(AVERAGE(R44:V44),0)</f>
        <v>#DIV/0!</v>
      </c>
      <c r="S45" s="3533"/>
      <c r="T45" s="3533"/>
      <c r="U45" s="3533"/>
      <c r="V45" s="3533"/>
      <c r="W45" s="3533"/>
      <c r="X45" s="1545"/>
      <c r="Y45" s="1545"/>
      <c r="Z45" s="1545"/>
      <c r="AA45" s="1545"/>
      <c r="AB45" s="1545"/>
      <c r="AC45" s="1545"/>
    </row>
    <row r="46" spans="1:29">
      <c r="A46" s="2128"/>
      <c r="B46" s="2128"/>
      <c r="C46" s="2128"/>
      <c r="D46" s="2128"/>
      <c r="E46" s="2128"/>
      <c r="F46" s="2128"/>
      <c r="G46" s="2131"/>
      <c r="H46" s="2128"/>
      <c r="I46" s="2128"/>
      <c r="J46" s="2128"/>
      <c r="K46" s="2132"/>
      <c r="L46" s="2133"/>
      <c r="M46" s="2117"/>
      <c r="N46" s="2117"/>
      <c r="O46" s="2128"/>
      <c r="P46" s="1545"/>
      <c r="Q46" s="1545"/>
      <c r="R46" s="1545"/>
      <c r="S46" s="1545"/>
      <c r="T46" s="1545"/>
      <c r="U46" s="1545"/>
      <c r="V46" s="1545"/>
      <c r="W46" s="1545"/>
      <c r="X46" s="1545"/>
      <c r="Y46" s="1545"/>
      <c r="Z46" s="1545"/>
      <c r="AA46" s="1545"/>
      <c r="AB46" s="1545"/>
      <c r="AC46" s="1545"/>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41" customFormat="1" ht="13.5" customHeight="1">
      <c r="A50" s="2129"/>
      <c r="B50" s="2129"/>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41" customFormat="1" ht="14.4"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8.8">
      <c r="A52" s="629" t="s">
        <v>560</v>
      </c>
      <c r="B52" s="630" t="s">
        <v>561</v>
      </c>
      <c r="C52" s="1546" t="s">
        <v>1723</v>
      </c>
      <c r="D52" s="2210" t="s">
        <v>2290</v>
      </c>
      <c r="E52" s="631" t="s">
        <v>562</v>
      </c>
      <c r="F52" s="1934" t="s">
        <v>563</v>
      </c>
      <c r="G52" s="3535" t="s">
        <v>2281</v>
      </c>
      <c r="H52" s="3536"/>
      <c r="I52" s="1935" t="s">
        <v>1942</v>
      </c>
      <c r="J52" s="1541" t="str">
        <f>项目基本情况!F41</f>
        <v>重庆市</v>
      </c>
      <c r="K52" s="2137" t="s">
        <v>1722</v>
      </c>
      <c r="L52" s="2133"/>
      <c r="M52" s="2128"/>
      <c r="N52" s="2128"/>
      <c r="O52" s="2128"/>
      <c r="P52" s="2128"/>
      <c r="Q52" s="2128"/>
      <c r="R52" s="2128"/>
      <c r="S52" s="2128"/>
      <c r="T52" s="2128"/>
      <c r="U52" s="2128"/>
      <c r="V52" s="2128"/>
      <c r="W52" s="2128"/>
      <c r="X52" s="2128"/>
      <c r="Y52" s="2128"/>
      <c r="Z52" s="2128"/>
      <c r="AA52" s="2128"/>
      <c r="AB52" s="2128"/>
      <c r="AC52" s="2128"/>
    </row>
    <row r="53" spans="1:29" s="1342" customFormat="1" ht="13.2">
      <c r="A53" s="633" t="s">
        <v>564</v>
      </c>
      <c r="B53" s="634" t="e">
        <f>C45</f>
        <v>#DIV/0!</v>
      </c>
      <c r="C53" s="635">
        <v>1</v>
      </c>
      <c r="D53" s="2211">
        <v>1</v>
      </c>
      <c r="E53" s="635">
        <f>'数据-汇总表'!E8+'数据-汇总表'!E9</f>
        <v>120907.58</v>
      </c>
      <c r="F53" s="1933" t="e">
        <f t="shared" ref="F53:F62" si="15">ROUND(B53*E53/10000,0)</f>
        <v>#DIV/0!</v>
      </c>
      <c r="G53" s="3537"/>
      <c r="H53" s="3538"/>
      <c r="I53" s="1936">
        <v>1</v>
      </c>
      <c r="J53" s="1542">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2" customFormat="1" ht="13.2">
      <c r="A54" s="637" t="s">
        <v>565</v>
      </c>
      <c r="B54" s="638" t="e">
        <f>ROUND($C$45*C54*D54,0)</f>
        <v>#DIV/0!</v>
      </c>
      <c r="C54" s="378">
        <f t="shared" ref="C54:C62" si="16">IF($C$52="北京市系数",I54,J54)</f>
        <v>0</v>
      </c>
      <c r="D54" s="2212">
        <v>0.25</v>
      </c>
      <c r="E54" s="639"/>
      <c r="F54" s="1933" t="e">
        <f t="shared" si="15"/>
        <v>#DIV/0!</v>
      </c>
      <c r="G54" s="3539" t="s">
        <v>2282</v>
      </c>
      <c r="H54" s="1937">
        <f>项目基本情况!B43</f>
        <v>0</v>
      </c>
      <c r="I54" s="1936">
        <f>SUMIF(修正!$A$45:$A$56,H54,修正!B45:B56)</f>
        <v>0</v>
      </c>
      <c r="J54" s="1544"/>
      <c r="K54" s="2138"/>
      <c r="L54" s="2138"/>
      <c r="M54" s="2138"/>
      <c r="N54" s="2138"/>
      <c r="O54" s="2138"/>
      <c r="P54" s="2138"/>
      <c r="Q54" s="2138"/>
      <c r="R54" s="2138"/>
      <c r="S54" s="2138"/>
      <c r="T54" s="2138"/>
      <c r="U54" s="2138"/>
      <c r="V54" s="2138"/>
      <c r="W54" s="2138"/>
      <c r="X54" s="2138"/>
      <c r="Y54" s="2138"/>
      <c r="Z54" s="2138"/>
      <c r="AA54" s="2138"/>
      <c r="AB54" s="2138"/>
      <c r="AC54" s="2138"/>
    </row>
    <row r="55" spans="1:29" s="1342" customFormat="1" ht="13.2">
      <c r="A55" s="637" t="s">
        <v>566</v>
      </c>
      <c r="B55" s="638" t="e">
        <f t="shared" ref="B55:B62" si="17">ROUND($C$45*C55*D55,0)</f>
        <v>#DIV/0!</v>
      </c>
      <c r="C55" s="378">
        <f t="shared" si="16"/>
        <v>0</v>
      </c>
      <c r="D55" s="2212">
        <v>0.25</v>
      </c>
      <c r="E55" s="639"/>
      <c r="F55" s="1933" t="e">
        <f t="shared" si="15"/>
        <v>#DIV/0!</v>
      </c>
      <c r="G55" s="3539"/>
      <c r="H55" s="1938">
        <f>项目基本情况!B43</f>
        <v>0</v>
      </c>
      <c r="I55" s="1936">
        <f>SUMIF(修正!$A$45:$A$56,H55,修正!C45:C56)</f>
        <v>0</v>
      </c>
      <c r="J55" s="1544"/>
      <c r="K55" s="2138"/>
      <c r="L55" s="2138"/>
      <c r="M55" s="2138"/>
      <c r="N55" s="2138"/>
      <c r="O55" s="2138"/>
      <c r="P55" s="2138"/>
      <c r="Q55" s="2138"/>
      <c r="R55" s="2138"/>
      <c r="S55" s="2138"/>
      <c r="T55" s="2138"/>
      <c r="U55" s="2138"/>
      <c r="V55" s="2138"/>
      <c r="W55" s="2138"/>
      <c r="X55" s="2138"/>
      <c r="Y55" s="2138"/>
      <c r="Z55" s="2138"/>
      <c r="AA55" s="2138"/>
      <c r="AB55" s="2138"/>
      <c r="AC55" s="2138"/>
    </row>
    <row r="56" spans="1:29" s="1342" customFormat="1" ht="13.2">
      <c r="A56" s="637" t="s">
        <v>567</v>
      </c>
      <c r="B56" s="638" t="e">
        <f t="shared" si="17"/>
        <v>#DIV/0!</v>
      </c>
      <c r="C56" s="378">
        <f t="shared" si="16"/>
        <v>0</v>
      </c>
      <c r="D56" s="2212">
        <v>0.25</v>
      </c>
      <c r="E56" s="639"/>
      <c r="F56" s="1933" t="e">
        <f t="shared" si="15"/>
        <v>#DIV/0!</v>
      </c>
      <c r="G56" s="3539"/>
      <c r="H56" s="1938">
        <f>项目基本情况!B43</f>
        <v>0</v>
      </c>
      <c r="I56" s="1936">
        <f>SUMIF(修正!$A$45:$A$56,H56,修正!D45:D56)</f>
        <v>0</v>
      </c>
      <c r="J56" s="1544"/>
      <c r="K56" s="2138"/>
      <c r="L56" s="2138"/>
      <c r="M56" s="2138"/>
      <c r="N56" s="2138"/>
      <c r="O56" s="2138"/>
      <c r="P56" s="2138"/>
      <c r="Q56" s="2138"/>
      <c r="R56" s="2138"/>
      <c r="S56" s="2138"/>
      <c r="T56" s="2138"/>
      <c r="U56" s="2138"/>
      <c r="V56" s="2138"/>
      <c r="W56" s="2138"/>
      <c r="X56" s="2138"/>
      <c r="Y56" s="2138"/>
      <c r="Z56" s="2138"/>
      <c r="AA56" s="2138"/>
      <c r="AB56" s="2138"/>
      <c r="AC56" s="2138"/>
    </row>
    <row r="57" spans="1:29" s="1342" customFormat="1" ht="13.2">
      <c r="A57" s="637" t="s">
        <v>568</v>
      </c>
      <c r="B57" s="638" t="e">
        <f t="shared" si="17"/>
        <v>#DIV/0!</v>
      </c>
      <c r="C57" s="378">
        <f t="shared" si="16"/>
        <v>0</v>
      </c>
      <c r="D57" s="2212">
        <v>0.25</v>
      </c>
      <c r="E57" s="639"/>
      <c r="F57" s="1933" t="e">
        <f t="shared" si="15"/>
        <v>#DIV/0!</v>
      </c>
      <c r="G57" s="3539"/>
      <c r="H57" s="1938">
        <f>项目基本情况!B43</f>
        <v>0</v>
      </c>
      <c r="I57" s="1936">
        <f>SUMIF(修正!$A$45:$A$56,H57,修正!E45:E56)</f>
        <v>0</v>
      </c>
      <c r="J57" s="1544"/>
      <c r="K57" s="2138"/>
      <c r="L57" s="2138"/>
      <c r="M57" s="2138"/>
      <c r="N57" s="2138"/>
      <c r="O57" s="2138"/>
      <c r="P57" s="2138"/>
      <c r="Q57" s="2138"/>
      <c r="R57" s="2138"/>
      <c r="S57" s="2138"/>
      <c r="T57" s="2138"/>
      <c r="U57" s="2138"/>
      <c r="V57" s="2138"/>
      <c r="W57" s="2138"/>
      <c r="X57" s="2138"/>
      <c r="Y57" s="2138"/>
      <c r="Z57" s="2138"/>
      <c r="AA57" s="2138"/>
      <c r="AB57" s="2138"/>
      <c r="AC57" s="2138"/>
    </row>
    <row r="58" spans="1:29" s="1342" customFormat="1" ht="13.2">
      <c r="A58" s="2314" t="s">
        <v>2325</v>
      </c>
      <c r="B58" s="638" t="e">
        <f t="shared" si="17"/>
        <v>#DIV/0!</v>
      </c>
      <c r="C58" s="378">
        <f t="shared" si="16"/>
        <v>0</v>
      </c>
      <c r="D58" s="2212">
        <v>0.25</v>
      </c>
      <c r="E58" s="641">
        <f>'数据-汇总表'!E11</f>
        <v>0</v>
      </c>
      <c r="F58" s="1933" t="e">
        <f t="shared" si="15"/>
        <v>#DIV/0!</v>
      </c>
      <c r="G58" s="1939" t="s">
        <v>2283</v>
      </c>
      <c r="H58" s="1938">
        <f>项目基本情况!C43</f>
        <v>0</v>
      </c>
      <c r="I58" s="1936">
        <f>SUMIF(修正!$A$45:$A$56,H58,修正!F45:F56)</f>
        <v>0</v>
      </c>
      <c r="J58" s="1544"/>
      <c r="K58" s="2138"/>
      <c r="L58" s="2138"/>
      <c r="M58" s="2138"/>
      <c r="N58" s="2138"/>
      <c r="O58" s="2138"/>
      <c r="P58" s="2138"/>
      <c r="Q58" s="2138"/>
      <c r="R58" s="2138"/>
      <c r="S58" s="2138"/>
      <c r="T58" s="2138"/>
      <c r="U58" s="2138"/>
      <c r="V58" s="2138"/>
      <c r="W58" s="2138"/>
      <c r="X58" s="2138"/>
      <c r="Y58" s="2138"/>
      <c r="Z58" s="2138"/>
      <c r="AA58" s="2138"/>
      <c r="AB58" s="2138"/>
      <c r="AC58" s="2138"/>
    </row>
    <row r="59" spans="1:29" s="1342" customFormat="1" ht="13.2">
      <c r="A59" s="637" t="s">
        <v>569</v>
      </c>
      <c r="B59" s="638" t="e">
        <f t="shared" si="17"/>
        <v>#DIV/0!</v>
      </c>
      <c r="C59" s="378">
        <f t="shared" si="16"/>
        <v>0</v>
      </c>
      <c r="D59" s="2212">
        <v>0.25</v>
      </c>
      <c r="E59" s="641">
        <f>'数据-汇总表'!E12</f>
        <v>0</v>
      </c>
      <c r="F59" s="1933" t="e">
        <f t="shared" si="15"/>
        <v>#DIV/0!</v>
      </c>
      <c r="G59" s="1929" t="s">
        <v>1677</v>
      </c>
      <c r="H59" s="1937">
        <f>IF(G59="商业",项目基本情况!B43,IF(G59="办公",项目基本情况!C43,IF(G59="住宅",项目基本情况!D43,项目基本情况!E43)))</f>
        <v>0</v>
      </c>
      <c r="I59" s="1936">
        <f>SUMIF(修正!$A$45:$A$56,H59,修正!G45:G56)</f>
        <v>0</v>
      </c>
      <c r="J59" s="1544"/>
      <c r="K59" s="2138"/>
      <c r="L59" s="2138"/>
      <c r="M59" s="2138"/>
      <c r="N59" s="2138"/>
      <c r="O59" s="2138"/>
      <c r="P59" s="2138"/>
      <c r="Q59" s="2138"/>
      <c r="R59" s="2138"/>
      <c r="S59" s="2138"/>
      <c r="T59" s="2138"/>
      <c r="U59" s="2138"/>
      <c r="V59" s="2138"/>
      <c r="W59" s="2138"/>
      <c r="X59" s="2138"/>
      <c r="Y59" s="2138"/>
      <c r="Z59" s="2138"/>
      <c r="AA59" s="2138"/>
      <c r="AB59" s="2138"/>
      <c r="AC59" s="2138"/>
    </row>
    <row r="60" spans="1:29" s="1342" customFormat="1" ht="13.2">
      <c r="A60" s="637" t="s">
        <v>570</v>
      </c>
      <c r="B60" s="638" t="e">
        <f t="shared" si="17"/>
        <v>#DIV/0!</v>
      </c>
      <c r="C60" s="378">
        <f t="shared" si="16"/>
        <v>0</v>
      </c>
      <c r="D60" s="2212">
        <v>0.25</v>
      </c>
      <c r="E60" s="641">
        <f>'数据-汇总表'!E13</f>
        <v>34630.9</v>
      </c>
      <c r="F60" s="1933" t="e">
        <f t="shared" si="15"/>
        <v>#DIV/0!</v>
      </c>
      <c r="G60" s="1929" t="s">
        <v>923</v>
      </c>
      <c r="H60" s="1937">
        <f>IF(G60="商业",项目基本情况!B43,IF(G60="办公",项目基本情况!C43,IF(G60="住宅",项目基本情况!D43,项目基本情况!E43)))</f>
        <v>0</v>
      </c>
      <c r="I60" s="1936">
        <f>SUMIF(修正!$A$45:$A$56,H60,修正!H45:H56)</f>
        <v>0</v>
      </c>
      <c r="J60" s="1544"/>
      <c r="K60" s="2138"/>
      <c r="L60" s="2138"/>
      <c r="M60" s="2138"/>
      <c r="N60" s="2138"/>
      <c r="O60" s="2138"/>
      <c r="P60" s="2138"/>
      <c r="Q60" s="2138"/>
      <c r="R60" s="2138"/>
      <c r="S60" s="2138"/>
      <c r="T60" s="2138"/>
      <c r="U60" s="2138"/>
      <c r="V60" s="2138"/>
      <c r="W60" s="2138"/>
      <c r="X60" s="2138"/>
      <c r="Y60" s="2138"/>
      <c r="Z60" s="2138"/>
      <c r="AA60" s="2138"/>
      <c r="AB60" s="2138"/>
      <c r="AC60" s="2138"/>
    </row>
    <row r="61" spans="1:29" s="1342" customFormat="1" ht="13.2">
      <c r="A61" s="637" t="s">
        <v>571</v>
      </c>
      <c r="B61" s="638" t="e">
        <f t="shared" si="17"/>
        <v>#DIV/0!</v>
      </c>
      <c r="C61" s="378">
        <f t="shared" si="16"/>
        <v>0</v>
      </c>
      <c r="D61" s="2212">
        <v>0.25</v>
      </c>
      <c r="E61" s="641">
        <f>'数据-汇总表'!E14</f>
        <v>0</v>
      </c>
      <c r="F61" s="1933" t="e">
        <f t="shared" si="15"/>
        <v>#DIV/0!</v>
      </c>
      <c r="G61" s="1939" t="s">
        <v>2282</v>
      </c>
      <c r="H61" s="1938">
        <f>项目基本情况!B43</f>
        <v>0</v>
      </c>
      <c r="I61" s="1936">
        <f>SUMIF(修正!$A$45:$A$56,H61,修正!H45:H56)</f>
        <v>0</v>
      </c>
      <c r="J61" s="1544"/>
      <c r="K61" s="2138"/>
      <c r="L61" s="2138"/>
      <c r="M61" s="2138"/>
      <c r="N61" s="2138"/>
      <c r="O61" s="2138"/>
      <c r="P61" s="2138"/>
      <c r="Q61" s="2138"/>
      <c r="R61" s="2138"/>
      <c r="S61" s="2138"/>
      <c r="T61" s="2138"/>
      <c r="U61" s="2138"/>
      <c r="V61" s="2138"/>
      <c r="W61" s="2138"/>
      <c r="X61" s="2138"/>
      <c r="Y61" s="2138"/>
      <c r="Z61" s="2138"/>
      <c r="AA61" s="2138"/>
      <c r="AB61" s="2138"/>
      <c r="AC61" s="2138"/>
    </row>
    <row r="62" spans="1:29" s="1342" customFormat="1" thickBot="1">
      <c r="A62" s="637" t="s">
        <v>572</v>
      </c>
      <c r="B62" s="638" t="e">
        <f t="shared" si="17"/>
        <v>#DIV/0!</v>
      </c>
      <c r="C62" s="378">
        <f t="shared" si="16"/>
        <v>0</v>
      </c>
      <c r="D62" s="2212">
        <v>0.25</v>
      </c>
      <c r="E62" s="641">
        <f>'数据-汇总表'!E15</f>
        <v>0</v>
      </c>
      <c r="F62" s="1933" t="e">
        <f t="shared" si="15"/>
        <v>#DIV/0!</v>
      </c>
      <c r="G62" s="1940" t="s">
        <v>2283</v>
      </c>
      <c r="H62" s="1941">
        <f>项目基本情况!C43</f>
        <v>0</v>
      </c>
      <c r="I62" s="1936">
        <f>SUMIF(修正!$A$45:$A$56,H62,修正!H45:H56)</f>
        <v>0</v>
      </c>
      <c r="J62" s="1544"/>
      <c r="K62" s="2138"/>
      <c r="L62" s="2138"/>
      <c r="M62" s="2138"/>
      <c r="N62" s="2138"/>
      <c r="O62" s="2138"/>
      <c r="P62" s="2138"/>
      <c r="Q62" s="2138"/>
      <c r="R62" s="2138"/>
      <c r="S62" s="2138"/>
      <c r="T62" s="2138"/>
      <c r="U62" s="2138"/>
      <c r="V62" s="2138"/>
      <c r="W62" s="2138"/>
      <c r="X62" s="2138"/>
      <c r="Y62" s="2138"/>
      <c r="Z62" s="2138"/>
      <c r="AA62" s="2138"/>
      <c r="AB62" s="2138"/>
      <c r="AC62" s="2138"/>
    </row>
    <row r="63" spans="1:29" s="1342" customFormat="1" thickBot="1">
      <c r="A63" s="642" t="s">
        <v>573</v>
      </c>
      <c r="B63" s="643" t="s">
        <v>17</v>
      </c>
      <c r="C63" s="643" t="s">
        <v>18</v>
      </c>
      <c r="D63" s="643" t="s">
        <v>2291</v>
      </c>
      <c r="E63" s="643">
        <f>IF(B43="楼面地价",SUM(E53:E62),'数据-汇总表'!D3)</f>
        <v>22322.400000000001</v>
      </c>
      <c r="F63" s="644"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2020-2-1</v>
      </c>
      <c r="D65" s="2752">
        <f>EDATE(C65,-3)</f>
        <v>43770</v>
      </c>
      <c r="E65" s="2752">
        <f t="shared" ref="E65:N65" si="18">EDATE(D65,-3)</f>
        <v>43678</v>
      </c>
      <c r="F65" s="2752">
        <f t="shared" si="18"/>
        <v>43586</v>
      </c>
      <c r="G65" s="2752">
        <f t="shared" si="18"/>
        <v>43497</v>
      </c>
      <c r="H65" s="2752">
        <f t="shared" si="18"/>
        <v>43405</v>
      </c>
      <c r="I65" s="2752">
        <f t="shared" si="18"/>
        <v>43313</v>
      </c>
      <c r="J65" s="2752">
        <f t="shared" si="18"/>
        <v>43221</v>
      </c>
      <c r="K65" s="2752">
        <f t="shared" si="18"/>
        <v>43132</v>
      </c>
      <c r="L65" s="2752">
        <f t="shared" si="18"/>
        <v>43040</v>
      </c>
      <c r="M65" s="2752">
        <f t="shared" si="18"/>
        <v>42948</v>
      </c>
      <c r="N65" s="2752">
        <f t="shared" si="18"/>
        <v>42856</v>
      </c>
      <c r="O65" s="2128"/>
      <c r="P65" s="2128"/>
      <c r="Q65" s="2128"/>
      <c r="R65" s="2128"/>
      <c r="S65" s="2128"/>
      <c r="T65" s="2128"/>
      <c r="U65" s="2128"/>
      <c r="V65" s="2128"/>
      <c r="W65" s="2128"/>
      <c r="X65" s="2128"/>
      <c r="Y65" s="2128"/>
      <c r="Z65" s="2128"/>
      <c r="AA65" s="2128"/>
      <c r="AB65" s="2128"/>
      <c r="AC65" s="2128"/>
    </row>
    <row r="66" spans="1:29" ht="22.2" thickBot="1">
      <c r="A66" s="1570" t="s">
        <v>574</v>
      </c>
      <c r="B66" s="1545"/>
      <c r="C66" s="1569"/>
      <c r="D66" s="1569"/>
      <c r="E66" s="1569"/>
      <c r="F66" s="1571"/>
      <c r="G66" s="1571"/>
      <c r="H66" s="1569"/>
      <c r="I66" s="1569"/>
      <c r="J66" s="1569"/>
      <c r="K66" s="1572"/>
      <c r="L66" s="1568"/>
      <c r="M66" s="1569"/>
      <c r="N66" s="1569"/>
      <c r="O66" s="2140"/>
      <c r="P66" s="2140"/>
      <c r="Q66" s="2141"/>
      <c r="R66" s="2128"/>
      <c r="S66" s="2128"/>
      <c r="T66" s="2128"/>
      <c r="U66" s="2128"/>
      <c r="V66" s="2128"/>
      <c r="W66" s="2128"/>
      <c r="X66" s="2128"/>
      <c r="Y66" s="2128"/>
      <c r="Z66" s="2128"/>
      <c r="AA66" s="2128"/>
      <c r="AB66" s="2128"/>
      <c r="AC66" s="2128"/>
    </row>
    <row r="67" spans="1:29" s="1343" customFormat="1" ht="14.4">
      <c r="A67" s="2530" t="s">
        <v>2530</v>
      </c>
      <c r="B67" s="646"/>
      <c r="C67" s="2748" t="str">
        <f>YEAR(C65)&amp;"-"&amp;ROUNDUP(MONTH(C65)/3,0)</f>
        <v>2020-1</v>
      </c>
      <c r="D67" s="2754" t="str">
        <f t="shared" ref="D67:N67" si="19">YEAR(D65)&amp;"-"&amp;ROUNDUP(MONTH(D65)/3,0)</f>
        <v>2019-4</v>
      </c>
      <c r="E67" s="2754" t="str">
        <f t="shared" si="19"/>
        <v>2019-3</v>
      </c>
      <c r="F67" s="2754" t="str">
        <f t="shared" si="19"/>
        <v>2019-2</v>
      </c>
      <c r="G67" s="2754" t="str">
        <f t="shared" si="19"/>
        <v>2019-1</v>
      </c>
      <c r="H67" s="2754" t="str">
        <f t="shared" si="19"/>
        <v>2018-4</v>
      </c>
      <c r="I67" s="2754" t="str">
        <f t="shared" si="19"/>
        <v>2018-3</v>
      </c>
      <c r="J67" s="2754" t="str">
        <f t="shared" si="19"/>
        <v>2018-2</v>
      </c>
      <c r="K67" s="2754" t="str">
        <f t="shared" si="19"/>
        <v>2018-1</v>
      </c>
      <c r="L67" s="2754" t="str">
        <f t="shared" si="19"/>
        <v>2017-4</v>
      </c>
      <c r="M67" s="2754" t="str">
        <f t="shared" si="19"/>
        <v>2017-3</v>
      </c>
      <c r="N67" s="2754" t="str">
        <f t="shared" si="19"/>
        <v>2017-2</v>
      </c>
      <c r="O67" s="2142"/>
      <c r="P67" s="2143"/>
      <c r="Q67" s="2144"/>
      <c r="R67" s="2144"/>
      <c r="S67" s="2144"/>
      <c r="T67" s="2144"/>
      <c r="U67" s="2144"/>
      <c r="V67" s="2144"/>
      <c r="W67" s="2144"/>
      <c r="X67" s="2144"/>
      <c r="Y67" s="2144"/>
      <c r="Z67" s="2144"/>
      <c r="AA67" s="2144"/>
      <c r="AB67" s="2144"/>
      <c r="AC67" s="2144"/>
    </row>
    <row r="68" spans="1:29" s="1216" customFormat="1" ht="27.75" customHeight="1">
      <c r="A68" s="2751" t="s">
        <v>2645</v>
      </c>
      <c r="B68" s="479" t="str">
        <f>"北京市平均增长率"&amp;TEXT(基准地价!P24,"0.00%")</f>
        <v>北京市平均增长率1.33%</v>
      </c>
      <c r="C68" s="894">
        <v>100</v>
      </c>
      <c r="D68" s="730"/>
      <c r="E68" s="730"/>
      <c r="F68" s="730"/>
      <c r="G68" s="730"/>
      <c r="H68" s="730"/>
      <c r="I68" s="730"/>
      <c r="J68" s="730"/>
      <c r="K68" s="730"/>
      <c r="L68" s="730"/>
      <c r="M68" s="2746"/>
      <c r="N68" s="2747"/>
      <c r="O68" s="2145"/>
      <c r="P68" s="2141"/>
      <c r="Q68" s="1976"/>
      <c r="R68" s="1976"/>
      <c r="S68" s="1976"/>
      <c r="T68" s="1976"/>
      <c r="U68" s="1976"/>
      <c r="V68" s="1976"/>
      <c r="W68" s="1976"/>
      <c r="X68" s="1976"/>
      <c r="Y68" s="1976"/>
      <c r="Z68" s="1976"/>
      <c r="AA68" s="1976"/>
      <c r="AB68" s="1976"/>
      <c r="AC68" s="1976"/>
    </row>
    <row r="69" spans="1:29" s="1216" customFormat="1" ht="15" thickBot="1">
      <c r="A69" s="653" t="s">
        <v>575</v>
      </c>
      <c r="B69" s="654"/>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6" customFormat="1" ht="14.4">
      <c r="A70" s="659" t="s">
        <v>531</v>
      </c>
      <c r="B70" s="648"/>
      <c r="C70" s="660" t="s">
        <v>576</v>
      </c>
      <c r="D70" s="661"/>
      <c r="E70" s="661"/>
      <c r="F70" s="661"/>
      <c r="G70" s="661"/>
      <c r="H70" s="661"/>
      <c r="I70" s="661"/>
      <c r="J70" s="661"/>
      <c r="K70" s="661"/>
      <c r="L70" s="662"/>
      <c r="M70" s="663"/>
      <c r="N70" s="2145"/>
      <c r="O70" s="2145"/>
      <c r="P70" s="2146"/>
      <c r="Q70" s="2141"/>
      <c r="R70" s="1976"/>
      <c r="S70" s="1976"/>
      <c r="T70" s="1976"/>
      <c r="U70" s="1976"/>
      <c r="V70" s="1976"/>
      <c r="W70" s="1976"/>
      <c r="X70" s="1976"/>
      <c r="Y70" s="1976"/>
      <c r="Z70" s="1976"/>
      <c r="AA70" s="1976"/>
      <c r="AB70" s="1976"/>
      <c r="AC70" s="1976"/>
    </row>
    <row r="71" spans="1:29" s="1216" customFormat="1" ht="14.4" thickBot="1">
      <c r="A71" s="659"/>
      <c r="B71" s="648"/>
      <c r="C71" s="649">
        <v>100</v>
      </c>
      <c r="D71" s="650"/>
      <c r="E71" s="650"/>
      <c r="F71" s="650"/>
      <c r="G71" s="650"/>
      <c r="H71" s="650"/>
      <c r="I71" s="650"/>
      <c r="J71" s="650"/>
      <c r="K71" s="650"/>
      <c r="L71" s="650"/>
      <c r="M71" s="652"/>
      <c r="N71" s="2145"/>
      <c r="O71" s="2145"/>
      <c r="P71" s="2141"/>
      <c r="Q71" s="2141"/>
      <c r="R71" s="1976"/>
      <c r="S71" s="1976"/>
      <c r="T71" s="1976"/>
      <c r="U71" s="1976"/>
      <c r="V71" s="1976"/>
      <c r="W71" s="1976"/>
      <c r="X71" s="1976"/>
      <c r="Y71" s="1976"/>
      <c r="Z71" s="1976"/>
      <c r="AA71" s="1976"/>
      <c r="AB71" s="1976"/>
      <c r="AC71" s="1976"/>
    </row>
    <row r="72" spans="1:29" ht="14.4">
      <c r="A72" s="664" t="s">
        <v>577</v>
      </c>
      <c r="B72" s="665" t="s">
        <v>534</v>
      </c>
      <c r="C72" s="598"/>
      <c r="D72" s="598"/>
      <c r="E72" s="598"/>
      <c r="F72" s="598"/>
      <c r="G72" s="598"/>
      <c r="H72" s="598"/>
      <c r="I72" s="598"/>
      <c r="J72" s="598"/>
      <c r="K72" s="666"/>
      <c r="L72" s="667"/>
      <c r="M72" s="668"/>
      <c r="N72" s="2147"/>
      <c r="O72" s="2147"/>
      <c r="P72" s="2148"/>
      <c r="Q72" s="2141"/>
      <c r="R72" s="2128"/>
      <c r="S72" s="2128"/>
      <c r="T72" s="2128"/>
      <c r="U72" s="2128"/>
      <c r="V72" s="2128"/>
      <c r="W72" s="2128"/>
      <c r="X72" s="2128"/>
      <c r="Y72" s="2128"/>
      <c r="Z72" s="2128"/>
      <c r="AA72" s="2128"/>
      <c r="AB72" s="2128"/>
      <c r="AC72" s="2128"/>
    </row>
    <row r="73" spans="1:29" ht="14.4" thickBot="1">
      <c r="A73" s="669"/>
      <c r="B73" s="670"/>
      <c r="C73" s="671"/>
      <c r="D73" s="671"/>
      <c r="E73" s="671"/>
      <c r="F73" s="671"/>
      <c r="G73" s="671"/>
      <c r="H73" s="671"/>
      <c r="I73" s="671"/>
      <c r="J73" s="671"/>
      <c r="K73" s="671"/>
      <c r="L73" s="671"/>
      <c r="M73" s="672"/>
      <c r="N73" s="2149"/>
      <c r="O73" s="2149"/>
      <c r="P73" s="2148"/>
      <c r="Q73" s="2141"/>
      <c r="R73" s="2128"/>
      <c r="S73" s="2128"/>
      <c r="T73" s="2128"/>
      <c r="U73" s="2128"/>
      <c r="V73" s="2128"/>
      <c r="W73" s="2128"/>
      <c r="X73" s="2128"/>
      <c r="Y73" s="2128"/>
      <c r="Z73" s="2128"/>
      <c r="AA73" s="2128"/>
      <c r="AB73" s="2128"/>
      <c r="AC73" s="2128"/>
    </row>
    <row r="74" spans="1:29" ht="29.4" thickTop="1">
      <c r="A74" s="669"/>
      <c r="B74" s="673" t="s">
        <v>537</v>
      </c>
      <c r="C74" s="674"/>
      <c r="D74" s="674"/>
      <c r="E74" s="674"/>
      <c r="F74" s="674"/>
      <c r="G74" s="674"/>
      <c r="H74" s="674"/>
      <c r="I74" s="674"/>
      <c r="J74" s="674"/>
      <c r="K74" s="675"/>
      <c r="L74" s="676"/>
      <c r="M74" s="677"/>
      <c r="N74" s="2147"/>
      <c r="O74" s="2147"/>
      <c r="P74" s="2148"/>
      <c r="Q74" s="2141"/>
      <c r="R74" s="2128"/>
      <c r="S74" s="2128"/>
      <c r="T74" s="2128"/>
      <c r="U74" s="2128"/>
      <c r="V74" s="2128"/>
      <c r="W74" s="2128"/>
      <c r="X74" s="2128"/>
      <c r="Y74" s="2128"/>
      <c r="Z74" s="2128"/>
      <c r="AA74" s="2128"/>
      <c r="AB74" s="2128"/>
      <c r="AC74" s="2128"/>
    </row>
    <row r="75" spans="1:29" ht="14.4" thickBot="1">
      <c r="A75" s="669"/>
      <c r="B75" s="678"/>
      <c r="C75" s="679"/>
      <c r="D75" s="679"/>
      <c r="E75" s="679"/>
      <c r="F75" s="679"/>
      <c r="G75" s="679"/>
      <c r="H75" s="679"/>
      <c r="I75" s="679"/>
      <c r="J75" s="679"/>
      <c r="K75" s="679"/>
      <c r="L75" s="679"/>
      <c r="M75" s="680"/>
      <c r="N75" s="2149"/>
      <c r="O75" s="2149"/>
      <c r="P75" s="2148"/>
      <c r="Q75" s="2141"/>
      <c r="R75" s="2128"/>
      <c r="S75" s="2128"/>
      <c r="T75" s="2128"/>
      <c r="U75" s="2128"/>
      <c r="V75" s="2128"/>
      <c r="W75" s="2128"/>
      <c r="X75" s="2128"/>
      <c r="Y75" s="2128"/>
      <c r="Z75" s="2128"/>
      <c r="AA75" s="2128"/>
      <c r="AB75" s="2128"/>
      <c r="AC75" s="2128"/>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49"/>
      <c r="O76" s="2149"/>
      <c r="P76" s="2148"/>
      <c r="Q76" s="2141"/>
      <c r="R76" s="2128"/>
      <c r="S76" s="2128"/>
      <c r="T76" s="2128"/>
      <c r="U76" s="2128"/>
      <c r="V76" s="2128"/>
      <c r="W76" s="2128"/>
      <c r="X76" s="2128"/>
      <c r="Y76" s="2128"/>
      <c r="Z76" s="2128"/>
      <c r="AA76" s="2128"/>
      <c r="AB76" s="2128"/>
      <c r="AC76" s="2128"/>
    </row>
    <row r="77" spans="1:29">
      <c r="A77" s="669"/>
      <c r="B77" s="683"/>
      <c r="C77" s="541"/>
      <c r="D77" s="541"/>
      <c r="E77" s="541"/>
      <c r="F77" s="541"/>
      <c r="G77" s="541"/>
      <c r="H77" s="541"/>
      <c r="I77" s="541"/>
      <c r="J77" s="541"/>
      <c r="K77" s="684"/>
      <c r="L77" s="685"/>
      <c r="M77" s="686"/>
      <c r="N77" s="2147"/>
      <c r="O77" s="2147"/>
      <c r="P77" s="2148"/>
      <c r="Q77" s="2141"/>
      <c r="R77" s="2128"/>
      <c r="S77" s="2128"/>
      <c r="T77" s="2128"/>
      <c r="U77" s="2128"/>
      <c r="V77" s="2128"/>
      <c r="W77" s="2128"/>
      <c r="X77" s="2128"/>
      <c r="Y77" s="2128"/>
      <c r="Z77" s="2128"/>
      <c r="AA77" s="2128"/>
      <c r="AB77" s="2128"/>
      <c r="AC77" s="2128"/>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49"/>
      <c r="O78" s="2149"/>
      <c r="P78" s="2148"/>
      <c r="Q78" s="2141"/>
      <c r="R78" s="2128"/>
      <c r="S78" s="2128"/>
      <c r="T78" s="2128"/>
      <c r="U78" s="2128"/>
      <c r="V78" s="2128"/>
      <c r="W78" s="2128"/>
      <c r="X78" s="2128"/>
      <c r="Y78" s="2128"/>
      <c r="Z78" s="2128"/>
      <c r="AA78" s="2128"/>
      <c r="AB78" s="2128"/>
      <c r="AC78" s="2128"/>
    </row>
    <row r="79" spans="1:29" s="1335" customFormat="1" ht="14.4" thickTop="1">
      <c r="A79" s="687"/>
      <c r="B79" s="673">
        <f>B14</f>
        <v>111</v>
      </c>
      <c r="C79" s="688"/>
      <c r="D79" s="688"/>
      <c r="E79" s="688"/>
      <c r="F79" s="688"/>
      <c r="G79" s="688"/>
      <c r="H79" s="689"/>
      <c r="I79" s="689"/>
      <c r="J79" s="689"/>
      <c r="K79" s="689"/>
      <c r="L79" s="690"/>
      <c r="M79" s="691"/>
      <c r="N79" s="2150"/>
      <c r="O79" s="2150"/>
      <c r="P79" s="2151"/>
      <c r="Q79" s="2152"/>
      <c r="R79" s="2153"/>
      <c r="S79" s="2153"/>
      <c r="T79" s="2153"/>
      <c r="U79" s="2153"/>
      <c r="V79" s="2153"/>
      <c r="W79" s="2153"/>
      <c r="X79" s="2153"/>
      <c r="Y79" s="2153"/>
      <c r="Z79" s="2153"/>
      <c r="AA79" s="2153"/>
      <c r="AB79" s="2153"/>
      <c r="AC79" s="2153"/>
    </row>
    <row r="80" spans="1:29" s="1335" customFormat="1" ht="14.4" thickBot="1">
      <c r="A80" s="687"/>
      <c r="B80" s="678"/>
      <c r="C80" s="692"/>
      <c r="D80" s="671"/>
      <c r="E80" s="671"/>
      <c r="F80" s="671"/>
      <c r="G80" s="671"/>
      <c r="H80" s="671"/>
      <c r="I80" s="671"/>
      <c r="J80" s="671"/>
      <c r="K80" s="671"/>
      <c r="L80" s="671"/>
      <c r="M80" s="672"/>
      <c r="N80" s="2149"/>
      <c r="O80" s="2149"/>
      <c r="P80" s="2151"/>
      <c r="Q80" s="2152"/>
      <c r="R80" s="2153"/>
      <c r="S80" s="2153"/>
      <c r="T80" s="2153"/>
      <c r="U80" s="2153"/>
      <c r="V80" s="2153"/>
      <c r="W80" s="2153"/>
      <c r="X80" s="2153"/>
      <c r="Y80" s="2153"/>
      <c r="Z80" s="2153"/>
      <c r="AA80" s="2153"/>
      <c r="AB80" s="2153"/>
      <c r="AC80" s="2153"/>
    </row>
    <row r="81" spans="1:29" s="1335" customFormat="1" ht="14.4" thickTop="1">
      <c r="A81" s="687"/>
      <c r="B81" s="673">
        <f>B15</f>
        <v>111</v>
      </c>
      <c r="C81" s="688"/>
      <c r="D81" s="688"/>
      <c r="E81" s="688"/>
      <c r="F81" s="688"/>
      <c r="G81" s="688"/>
      <c r="H81" s="689"/>
      <c r="I81" s="689"/>
      <c r="J81" s="689"/>
      <c r="K81" s="689"/>
      <c r="L81" s="690"/>
      <c r="M81" s="691"/>
      <c r="N81" s="2150"/>
      <c r="O81" s="2150"/>
      <c r="P81" s="2154"/>
      <c r="Q81" s="2155"/>
      <c r="R81" s="2153"/>
      <c r="S81" s="2153"/>
      <c r="T81" s="2153"/>
      <c r="U81" s="2153"/>
      <c r="V81" s="2153"/>
      <c r="W81" s="2153"/>
      <c r="X81" s="2153"/>
      <c r="Y81" s="2153"/>
      <c r="Z81" s="2153"/>
      <c r="AA81" s="2153"/>
      <c r="AB81" s="2153"/>
      <c r="AC81" s="2153"/>
    </row>
    <row r="82" spans="1:29" s="1335" customFormat="1" ht="14.4" thickBot="1">
      <c r="A82" s="687"/>
      <c r="B82" s="678"/>
      <c r="C82" s="692"/>
      <c r="D82" s="692"/>
      <c r="E82" s="692"/>
      <c r="F82" s="692"/>
      <c r="G82" s="692"/>
      <c r="H82" s="693"/>
      <c r="I82" s="693"/>
      <c r="J82" s="693"/>
      <c r="K82" s="693"/>
      <c r="L82" s="693"/>
      <c r="M82" s="694"/>
      <c r="N82" s="2150"/>
      <c r="O82" s="2150"/>
      <c r="P82" s="2151"/>
      <c r="Q82" s="2152"/>
      <c r="R82" s="2153"/>
      <c r="S82" s="2153"/>
      <c r="T82" s="2153"/>
      <c r="U82" s="2153"/>
      <c r="V82" s="2153"/>
      <c r="W82" s="2153"/>
      <c r="X82" s="2153"/>
      <c r="Y82" s="2153"/>
      <c r="Z82" s="2153"/>
      <c r="AA82" s="2153"/>
      <c r="AB82" s="2153"/>
      <c r="AC82" s="2153"/>
    </row>
    <row r="83" spans="1:29" s="1335" customFormat="1" ht="14.4" thickTop="1">
      <c r="A83" s="687"/>
      <c r="B83" s="681">
        <f>B16</f>
        <v>111</v>
      </c>
      <c r="C83" s="661"/>
      <c r="D83" s="661"/>
      <c r="E83" s="661"/>
      <c r="F83" s="661"/>
      <c r="G83" s="661"/>
      <c r="H83" s="695"/>
      <c r="I83" s="695"/>
      <c r="J83" s="695"/>
      <c r="K83" s="695"/>
      <c r="L83" s="696"/>
      <c r="M83" s="697"/>
      <c r="N83" s="2150"/>
      <c r="O83" s="2150"/>
      <c r="P83" s="2156"/>
      <c r="Q83" s="2152"/>
      <c r="R83" s="2153"/>
      <c r="S83" s="2153"/>
      <c r="T83" s="2153"/>
      <c r="U83" s="2153"/>
      <c r="V83" s="2153"/>
      <c r="W83" s="2153"/>
      <c r="X83" s="2153"/>
      <c r="Y83" s="2153"/>
      <c r="Z83" s="2153"/>
      <c r="AA83" s="2153"/>
      <c r="AB83" s="2153"/>
      <c r="AC83" s="2153"/>
    </row>
    <row r="84" spans="1:29" s="1335" customFormat="1" ht="14.4" thickBot="1">
      <c r="A84" s="698"/>
      <c r="B84" s="699"/>
      <c r="C84" s="700"/>
      <c r="D84" s="700"/>
      <c r="E84" s="700"/>
      <c r="F84" s="700"/>
      <c r="G84" s="700"/>
      <c r="H84" s="701"/>
      <c r="I84" s="701"/>
      <c r="J84" s="701"/>
      <c r="K84" s="701"/>
      <c r="L84" s="701"/>
      <c r="M84" s="702"/>
      <c r="N84" s="2150"/>
      <c r="O84" s="2150"/>
      <c r="P84" s="2151"/>
      <c r="Q84" s="2152"/>
      <c r="R84" s="2153"/>
      <c r="S84" s="2153"/>
      <c r="T84" s="2153"/>
      <c r="U84" s="2153"/>
      <c r="V84" s="2153"/>
      <c r="W84" s="2153"/>
      <c r="X84" s="2153"/>
      <c r="Y84" s="2153"/>
      <c r="Z84" s="2153"/>
      <c r="AA84" s="2153"/>
      <c r="AB84" s="2153"/>
      <c r="AC84" s="2153"/>
    </row>
    <row r="85" spans="1:29" ht="14.4">
      <c r="A85" s="664" t="s">
        <v>539</v>
      </c>
      <c r="B85" s="665" t="s">
        <v>602</v>
      </c>
      <c r="C85" s="703" t="s">
        <v>579</v>
      </c>
      <c r="D85" s="703" t="s">
        <v>580</v>
      </c>
      <c r="E85" s="703" t="s">
        <v>581</v>
      </c>
      <c r="F85" s="703" t="s">
        <v>582</v>
      </c>
      <c r="G85" s="703" t="s">
        <v>583</v>
      </c>
      <c r="H85" s="704"/>
      <c r="I85" s="704"/>
      <c r="J85" s="704"/>
      <c r="K85" s="705"/>
      <c r="L85" s="706"/>
      <c r="M85" s="707"/>
      <c r="N85" s="2147"/>
      <c r="O85" s="2147"/>
      <c r="P85" s="2157"/>
      <c r="Q85" s="2141"/>
      <c r="R85" s="2128"/>
      <c r="S85" s="2128"/>
      <c r="T85" s="2128"/>
      <c r="U85" s="2128"/>
      <c r="V85" s="2128"/>
      <c r="W85" s="2128"/>
      <c r="X85" s="2128"/>
      <c r="Y85" s="2128"/>
      <c r="Z85" s="2128"/>
      <c r="AA85" s="2128"/>
      <c r="AB85" s="2128"/>
      <c r="AC85" s="2128"/>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49"/>
      <c r="O86" s="2149"/>
      <c r="P86" s="2148"/>
      <c r="Q86" s="2141"/>
      <c r="R86" s="2128"/>
      <c r="S86" s="2128"/>
      <c r="T86" s="2128"/>
      <c r="U86" s="2128"/>
      <c r="V86" s="2128"/>
      <c r="W86" s="2128"/>
      <c r="X86" s="2128"/>
      <c r="Y86" s="2128"/>
      <c r="Z86" s="2128"/>
      <c r="AA86" s="2128"/>
      <c r="AB86" s="2128"/>
      <c r="AC86" s="2128"/>
    </row>
    <row r="87" spans="1:29" ht="15" thickTop="1">
      <c r="A87" s="669"/>
      <c r="B87" s="673" t="s">
        <v>586</v>
      </c>
      <c r="C87" s="708" t="s">
        <v>579</v>
      </c>
      <c r="D87" s="708" t="s">
        <v>580</v>
      </c>
      <c r="E87" s="708" t="s">
        <v>581</v>
      </c>
      <c r="F87" s="708" t="s">
        <v>582</v>
      </c>
      <c r="G87" s="708" t="s">
        <v>583</v>
      </c>
      <c r="H87" s="674"/>
      <c r="I87" s="674"/>
      <c r="J87" s="674"/>
      <c r="K87" s="675"/>
      <c r="L87" s="676"/>
      <c r="M87" s="677"/>
      <c r="N87" s="2147"/>
      <c r="O87" s="2147"/>
      <c r="P87" s="2148"/>
      <c r="Q87" s="2141"/>
      <c r="R87" s="2128"/>
      <c r="S87" s="2128"/>
      <c r="T87" s="2128"/>
      <c r="U87" s="2128"/>
      <c r="V87" s="2128"/>
      <c r="W87" s="2128"/>
      <c r="X87" s="2128"/>
      <c r="Y87" s="2128"/>
      <c r="Z87" s="2128"/>
      <c r="AA87" s="2128"/>
      <c r="AB87" s="2128"/>
      <c r="AC87" s="2128"/>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49"/>
      <c r="O88" s="2149"/>
      <c r="P88" s="2148"/>
      <c r="Q88" s="2141"/>
      <c r="R88" s="2128"/>
      <c r="S88" s="2128"/>
      <c r="T88" s="2128"/>
      <c r="U88" s="2128"/>
      <c r="V88" s="2128"/>
      <c r="W88" s="2128"/>
      <c r="X88" s="2128"/>
      <c r="Y88" s="2128"/>
      <c r="Z88" s="2128"/>
      <c r="AA88" s="2128"/>
      <c r="AB88" s="2128"/>
      <c r="AC88" s="2128"/>
    </row>
    <row r="89" spans="1:29" s="1216" customFormat="1" ht="29.4" thickTop="1">
      <c r="A89" s="709"/>
      <c r="B89" s="673" t="s">
        <v>587</v>
      </c>
      <c r="C89" s="708" t="s">
        <v>579</v>
      </c>
      <c r="D89" s="708" t="s">
        <v>580</v>
      </c>
      <c r="E89" s="708" t="s">
        <v>581</v>
      </c>
      <c r="F89" s="708" t="s">
        <v>582</v>
      </c>
      <c r="G89" s="708" t="s">
        <v>583</v>
      </c>
      <c r="H89" s="708"/>
      <c r="I89" s="708"/>
      <c r="J89" s="708"/>
      <c r="K89" s="708"/>
      <c r="L89" s="710"/>
      <c r="M89" s="711"/>
      <c r="N89" s="2145"/>
      <c r="O89" s="2145"/>
      <c r="P89" s="2148"/>
      <c r="Q89" s="2141"/>
      <c r="R89" s="1976"/>
      <c r="S89" s="1976"/>
      <c r="T89" s="1976"/>
      <c r="U89" s="1976"/>
      <c r="V89" s="1976"/>
      <c r="W89" s="1976"/>
      <c r="X89" s="1976"/>
      <c r="Y89" s="1976"/>
      <c r="Z89" s="1976"/>
      <c r="AA89" s="1976"/>
      <c r="AB89" s="1976"/>
      <c r="AC89" s="1976"/>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49"/>
      <c r="O90" s="2149"/>
      <c r="P90" s="2148"/>
      <c r="Q90" s="2141"/>
      <c r="R90" s="1976"/>
      <c r="S90" s="1976"/>
      <c r="T90" s="1976"/>
      <c r="U90" s="1976"/>
      <c r="V90" s="1976"/>
      <c r="W90" s="1976"/>
      <c r="X90" s="1976"/>
      <c r="Y90" s="1976"/>
      <c r="Z90" s="1976"/>
      <c r="AA90" s="1976"/>
      <c r="AB90" s="1976"/>
      <c r="AC90" s="1976"/>
    </row>
    <row r="91" spans="1:29" s="1216" customFormat="1" ht="29.4" thickTop="1">
      <c r="A91" s="709"/>
      <c r="B91" s="673" t="s">
        <v>588</v>
      </c>
      <c r="C91" s="703" t="s">
        <v>579</v>
      </c>
      <c r="D91" s="703" t="s">
        <v>580</v>
      </c>
      <c r="E91" s="703" t="s">
        <v>581</v>
      </c>
      <c r="F91" s="703" t="s">
        <v>582</v>
      </c>
      <c r="G91" s="703" t="s">
        <v>583</v>
      </c>
      <c r="H91" s="708"/>
      <c r="I91" s="708"/>
      <c r="J91" s="708"/>
      <c r="K91" s="708"/>
      <c r="L91" s="708"/>
      <c r="M91" s="711"/>
      <c r="N91" s="2145"/>
      <c r="O91" s="2145"/>
      <c r="P91" s="2148"/>
      <c r="Q91" s="2141"/>
      <c r="R91" s="1976"/>
      <c r="S91" s="1976"/>
      <c r="T91" s="1976"/>
      <c r="U91" s="1976"/>
      <c r="V91" s="1976"/>
      <c r="W91" s="1976"/>
      <c r="X91" s="1976"/>
      <c r="Y91" s="1976"/>
      <c r="Z91" s="1976"/>
      <c r="AA91" s="1976"/>
      <c r="AB91" s="1976"/>
      <c r="AC91" s="1976"/>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49"/>
      <c r="O92" s="2149"/>
      <c r="P92" s="2148"/>
      <c r="Q92" s="2141"/>
      <c r="R92" s="1976"/>
      <c r="S92" s="1976"/>
      <c r="T92" s="1976"/>
      <c r="U92" s="1976"/>
      <c r="V92" s="1976"/>
      <c r="W92" s="1976"/>
      <c r="X92" s="1976"/>
      <c r="Y92" s="1976"/>
      <c r="Z92" s="1976"/>
      <c r="AA92" s="1976"/>
      <c r="AB92" s="1976"/>
      <c r="AC92" s="1976"/>
    </row>
    <row r="93" spans="1:29" s="1335" customFormat="1" ht="15" thickTop="1">
      <c r="A93" s="687"/>
      <c r="B93" s="1879" t="s">
        <v>2545</v>
      </c>
      <c r="C93" s="703" t="s">
        <v>579</v>
      </c>
      <c r="D93" s="703" t="s">
        <v>580</v>
      </c>
      <c r="E93" s="703" t="s">
        <v>581</v>
      </c>
      <c r="F93" s="703" t="s">
        <v>582</v>
      </c>
      <c r="G93" s="703" t="s">
        <v>583</v>
      </c>
      <c r="H93" s="713"/>
      <c r="I93" s="713"/>
      <c r="J93" s="713"/>
      <c r="K93" s="713"/>
      <c r="L93" s="714"/>
      <c r="M93" s="715"/>
      <c r="N93" s="2150"/>
      <c r="O93" s="2150"/>
      <c r="P93" s="2151"/>
      <c r="Q93" s="2152"/>
      <c r="R93" s="2153"/>
      <c r="S93" s="2153"/>
      <c r="T93" s="2153"/>
      <c r="U93" s="2153"/>
      <c r="V93" s="2153"/>
      <c r="W93" s="2153"/>
      <c r="X93" s="2153"/>
      <c r="Y93" s="2153"/>
      <c r="Z93" s="2153"/>
      <c r="AA93" s="2153"/>
      <c r="AB93" s="2153"/>
      <c r="AC93" s="2153"/>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50"/>
      <c r="O94" s="2150"/>
      <c r="P94" s="2151"/>
      <c r="Q94" s="2152"/>
      <c r="R94" s="2153"/>
      <c r="S94" s="2153"/>
      <c r="T94" s="2153"/>
      <c r="U94" s="2153"/>
      <c r="V94" s="2153"/>
      <c r="W94" s="2153"/>
      <c r="X94" s="2153"/>
      <c r="Y94" s="2153"/>
      <c r="Z94" s="2153"/>
      <c r="AA94" s="2153"/>
      <c r="AB94" s="2153"/>
      <c r="AC94" s="2153"/>
    </row>
    <row r="95" spans="1:29" s="1335" customFormat="1" ht="15" thickTop="1">
      <c r="A95" s="687"/>
      <c r="B95" s="2559" t="s">
        <v>2547</v>
      </c>
      <c r="C95" s="2560" t="s">
        <v>2548</v>
      </c>
      <c r="D95" s="2560" t="s">
        <v>2549</v>
      </c>
      <c r="E95" s="2560" t="s">
        <v>2550</v>
      </c>
      <c r="F95" s="2560" t="s">
        <v>2551</v>
      </c>
      <c r="G95" s="2560" t="s">
        <v>2552</v>
      </c>
      <c r="H95" s="713"/>
      <c r="I95" s="713"/>
      <c r="J95" s="713"/>
      <c r="K95" s="713"/>
      <c r="L95" s="713"/>
      <c r="M95" s="715"/>
      <c r="N95" s="2150"/>
      <c r="O95" s="2150"/>
      <c r="P95" s="2151"/>
      <c r="Q95" s="2152"/>
      <c r="R95" s="2153"/>
      <c r="S95" s="2153"/>
      <c r="T95" s="2153"/>
      <c r="U95" s="2153"/>
      <c r="V95" s="2153"/>
      <c r="W95" s="2153"/>
      <c r="X95" s="2153"/>
      <c r="Y95" s="2153"/>
      <c r="Z95" s="2153"/>
      <c r="AA95" s="2153"/>
      <c r="AB95" s="2153"/>
      <c r="AC95" s="2153"/>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52"/>
      <c r="N96" s="2150"/>
      <c r="O96" s="2150"/>
      <c r="P96" s="2151"/>
      <c r="Q96" s="2152"/>
      <c r="R96" s="2153"/>
      <c r="S96" s="2153"/>
      <c r="T96" s="2153"/>
      <c r="U96" s="2153"/>
      <c r="V96" s="2153"/>
      <c r="W96" s="2153"/>
      <c r="X96" s="2153"/>
      <c r="Y96" s="2153"/>
      <c r="Z96" s="2153"/>
      <c r="AA96" s="2153"/>
      <c r="AB96" s="2153"/>
      <c r="AC96" s="2153"/>
    </row>
    <row r="97" spans="1:29" ht="15" thickTop="1">
      <c r="A97" s="669"/>
      <c r="B97" s="673" t="str">
        <f>B29</f>
        <v>临街状况</v>
      </c>
      <c r="C97" s="674" t="s">
        <v>589</v>
      </c>
      <c r="D97" s="674" t="s">
        <v>590</v>
      </c>
      <c r="E97" s="674" t="s">
        <v>591</v>
      </c>
      <c r="F97" s="674" t="s">
        <v>592</v>
      </c>
      <c r="G97" s="674"/>
      <c r="H97" s="674"/>
      <c r="I97" s="674"/>
      <c r="J97" s="674"/>
      <c r="K97" s="675"/>
      <c r="L97" s="676"/>
      <c r="M97" s="677"/>
      <c r="N97" s="2147"/>
      <c r="O97" s="2147"/>
      <c r="P97" s="2148"/>
      <c r="Q97" s="2141"/>
      <c r="R97" s="2128"/>
      <c r="S97" s="2128"/>
      <c r="T97" s="2128"/>
      <c r="U97" s="2128"/>
      <c r="V97" s="2128"/>
      <c r="W97" s="2128"/>
      <c r="X97" s="2128"/>
      <c r="Y97" s="2128"/>
      <c r="Z97" s="2128"/>
      <c r="AA97" s="2128"/>
      <c r="AB97" s="2128"/>
      <c r="AC97" s="2128"/>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49"/>
      <c r="O98" s="2149"/>
      <c r="P98" s="2148"/>
      <c r="Q98" s="2141"/>
      <c r="R98" s="2128"/>
      <c r="S98" s="2128"/>
      <c r="T98" s="2128"/>
      <c r="U98" s="2128"/>
      <c r="V98" s="2128"/>
      <c r="W98" s="2128"/>
      <c r="X98" s="2128"/>
      <c r="Y98" s="2128"/>
      <c r="Z98" s="2128"/>
      <c r="AA98" s="2128"/>
      <c r="AB98" s="2128"/>
      <c r="AC98" s="2128"/>
    </row>
    <row r="99" spans="1:29" ht="29.4" thickTop="1">
      <c r="A99" s="669"/>
      <c r="B99" s="673" t="s">
        <v>548</v>
      </c>
      <c r="C99" s="688"/>
      <c r="D99" s="688"/>
      <c r="E99" s="688"/>
      <c r="F99" s="688"/>
      <c r="G99" s="688"/>
      <c r="H99" s="718"/>
      <c r="I99" s="718"/>
      <c r="J99" s="718"/>
      <c r="K99" s="719"/>
      <c r="L99" s="720"/>
      <c r="M99" s="721"/>
      <c r="N99" s="2147"/>
      <c r="O99" s="2147"/>
      <c r="P99" s="2148"/>
      <c r="Q99" s="2141"/>
      <c r="R99" s="2128"/>
      <c r="S99" s="2128"/>
      <c r="T99" s="2128"/>
      <c r="U99" s="2128"/>
      <c r="V99" s="2128"/>
      <c r="W99" s="2128"/>
      <c r="X99" s="2128"/>
      <c r="Y99" s="2128"/>
      <c r="Z99" s="2128"/>
      <c r="AA99" s="2128"/>
      <c r="AB99" s="2128"/>
      <c r="AC99" s="2128"/>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49"/>
      <c r="O100" s="2149"/>
      <c r="P100" s="2148"/>
      <c r="Q100" s="2141"/>
      <c r="R100" s="2128"/>
      <c r="S100" s="2128"/>
      <c r="T100" s="2128"/>
      <c r="U100" s="2128"/>
      <c r="V100" s="2128"/>
      <c r="W100" s="2128"/>
      <c r="X100" s="2128"/>
      <c r="Y100" s="2128"/>
      <c r="Z100" s="2128"/>
      <c r="AA100" s="2128"/>
      <c r="AB100" s="2128"/>
      <c r="AC100" s="2128"/>
    </row>
    <row r="101" spans="1:29" ht="15" thickTop="1">
      <c r="A101" s="669"/>
      <c r="B101" s="673" t="s">
        <v>549</v>
      </c>
      <c r="C101" s="718"/>
      <c r="D101" s="718"/>
      <c r="E101" s="718"/>
      <c r="F101" s="718"/>
      <c r="G101" s="718"/>
      <c r="H101" s="718"/>
      <c r="I101" s="718"/>
      <c r="J101" s="718"/>
      <c r="K101" s="719"/>
      <c r="L101" s="720"/>
      <c r="M101" s="721"/>
      <c r="N101" s="2147"/>
      <c r="O101" s="2147"/>
      <c r="P101" s="2148"/>
      <c r="Q101" s="2141"/>
      <c r="R101" s="2128"/>
      <c r="S101" s="2128"/>
      <c r="T101" s="2128"/>
      <c r="U101" s="2128"/>
      <c r="V101" s="2128"/>
      <c r="W101" s="2128"/>
      <c r="X101" s="2128"/>
      <c r="Y101" s="2128"/>
      <c r="Z101" s="2128"/>
      <c r="AA101" s="2128"/>
      <c r="AB101" s="2128"/>
      <c r="AC101" s="2128"/>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49"/>
      <c r="O102" s="2149"/>
      <c r="P102" s="2148"/>
      <c r="Q102" s="2141"/>
      <c r="R102" s="2128"/>
      <c r="S102" s="2128"/>
      <c r="T102" s="2128"/>
      <c r="U102" s="2128"/>
      <c r="V102" s="2128"/>
      <c r="W102" s="2128"/>
      <c r="X102" s="2128"/>
      <c r="Y102" s="2128"/>
      <c r="Z102" s="2128"/>
      <c r="AA102" s="2128"/>
      <c r="AB102" s="2128"/>
      <c r="AC102" s="2128"/>
    </row>
    <row r="103" spans="1:29" ht="14.4" thickTop="1">
      <c r="A103" s="669"/>
      <c r="B103" s="681">
        <f>B33</f>
        <v>111</v>
      </c>
      <c r="C103" s="688"/>
      <c r="D103" s="688"/>
      <c r="E103" s="688"/>
      <c r="F103" s="688"/>
      <c r="G103" s="722"/>
      <c r="H103" s="722"/>
      <c r="I103" s="722"/>
      <c r="J103" s="722"/>
      <c r="K103" s="723"/>
      <c r="L103" s="724"/>
      <c r="M103" s="725"/>
      <c r="N103" s="2147"/>
      <c r="O103" s="2147"/>
      <c r="P103" s="2148"/>
      <c r="Q103" s="2141"/>
      <c r="R103" s="2128"/>
      <c r="S103" s="2128"/>
      <c r="T103" s="2128"/>
      <c r="U103" s="2128"/>
      <c r="V103" s="2128"/>
      <c r="W103" s="2128"/>
      <c r="X103" s="2128"/>
      <c r="Y103" s="2128"/>
      <c r="Z103" s="2128"/>
      <c r="AA103" s="2128"/>
      <c r="AB103" s="2128"/>
      <c r="AC103" s="2128"/>
    </row>
    <row r="104" spans="1:29" ht="14.4" thickBot="1">
      <c r="A104" s="669"/>
      <c r="B104" s="699"/>
      <c r="C104" s="692"/>
      <c r="D104" s="671"/>
      <c r="E104" s="671"/>
      <c r="F104" s="671"/>
      <c r="G104" s="726"/>
      <c r="H104" s="726"/>
      <c r="I104" s="726"/>
      <c r="J104" s="726"/>
      <c r="K104" s="726"/>
      <c r="L104" s="726"/>
      <c r="M104" s="727"/>
      <c r="N104" s="2149"/>
      <c r="O104" s="2149"/>
      <c r="P104" s="2148"/>
      <c r="Q104" s="2141"/>
      <c r="R104" s="2128"/>
      <c r="S104" s="2128"/>
      <c r="T104" s="2128"/>
      <c r="U104" s="2128"/>
      <c r="V104" s="2128"/>
      <c r="W104" s="2128"/>
      <c r="X104" s="2128"/>
      <c r="Y104" s="2128"/>
      <c r="Z104" s="2128"/>
      <c r="AA104" s="2128"/>
      <c r="AB104" s="2128"/>
      <c r="AC104" s="2128"/>
    </row>
    <row r="105" spans="1:29" ht="14.4" thickTop="1">
      <c r="A105" s="587"/>
      <c r="B105" s="673">
        <f>B34</f>
        <v>111</v>
      </c>
      <c r="C105" s="688"/>
      <c r="D105" s="688"/>
      <c r="E105" s="688"/>
      <c r="F105" s="68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4.4" thickBot="1">
      <c r="A106" s="669"/>
      <c r="B106" s="678"/>
      <c r="C106" s="692"/>
      <c r="D106" s="692"/>
      <c r="E106" s="692"/>
      <c r="F106" s="692"/>
      <c r="G106" s="671"/>
      <c r="H106" s="671"/>
      <c r="I106" s="671"/>
      <c r="J106" s="671"/>
      <c r="K106" s="671"/>
      <c r="L106" s="671"/>
      <c r="M106" s="672"/>
      <c r="N106" s="2149"/>
      <c r="O106" s="2149"/>
      <c r="P106" s="2148"/>
      <c r="Q106" s="2141"/>
      <c r="R106" s="2128"/>
      <c r="S106" s="2128"/>
      <c r="T106" s="2128"/>
      <c r="U106" s="2128"/>
      <c r="V106" s="2128"/>
      <c r="W106" s="2128"/>
      <c r="X106" s="2128"/>
      <c r="Y106" s="2128"/>
      <c r="Z106" s="2128"/>
      <c r="AA106" s="2128"/>
      <c r="AB106" s="2128"/>
      <c r="AC106" s="2128"/>
    </row>
    <row r="107" spans="1:29" s="1335" customFormat="1" ht="14.4" thickTop="1">
      <c r="A107" s="728"/>
      <c r="B107" s="729">
        <f>B35</f>
        <v>111</v>
      </c>
      <c r="C107" s="661"/>
      <c r="D107" s="661"/>
      <c r="E107" s="661"/>
      <c r="F107" s="661"/>
      <c r="G107" s="730"/>
      <c r="H107" s="730"/>
      <c r="I107" s="730"/>
      <c r="J107" s="731"/>
      <c r="K107" s="731"/>
      <c r="L107" s="732"/>
      <c r="M107" s="733"/>
      <c r="N107" s="2150"/>
      <c r="O107" s="2150"/>
      <c r="P107" s="2151"/>
      <c r="Q107" s="2152"/>
      <c r="R107" s="2153"/>
      <c r="S107" s="2153"/>
      <c r="T107" s="2153"/>
      <c r="U107" s="2153"/>
      <c r="V107" s="2153"/>
      <c r="W107" s="2153"/>
      <c r="X107" s="2153"/>
      <c r="Y107" s="2153"/>
      <c r="Z107" s="2153"/>
      <c r="AA107" s="2153"/>
      <c r="AB107" s="2153"/>
      <c r="AC107" s="2153"/>
    </row>
    <row r="108" spans="1:29" s="1335" customFormat="1" ht="14.4" thickBot="1">
      <c r="A108" s="687"/>
      <c r="B108" s="681"/>
      <c r="C108" s="700"/>
      <c r="D108" s="700"/>
      <c r="E108" s="700"/>
      <c r="F108" s="700"/>
      <c r="G108" s="592"/>
      <c r="H108" s="592"/>
      <c r="I108" s="592"/>
      <c r="J108" s="592"/>
      <c r="K108" s="592"/>
      <c r="L108" s="592"/>
      <c r="M108" s="734"/>
      <c r="N108" s="2149"/>
      <c r="O108" s="2149"/>
      <c r="P108" s="2151"/>
      <c r="Q108" s="2152"/>
      <c r="R108" s="2153"/>
      <c r="S108" s="2153"/>
      <c r="T108" s="2153"/>
      <c r="U108" s="2153"/>
      <c r="V108" s="2153"/>
      <c r="W108" s="2153"/>
      <c r="X108" s="2153"/>
      <c r="Y108" s="2153"/>
      <c r="Z108" s="2153"/>
      <c r="AA108" s="2153"/>
      <c r="AB108" s="2153"/>
      <c r="AC108" s="2153"/>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39" t="str">
        <f t="shared" si="25"/>
        <v>(含)-</v>
      </c>
      <c r="L109" s="3040" t="str">
        <f t="shared" si="25"/>
        <v>(含)-</v>
      </c>
      <c r="M109" s="3041"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c r="A110" s="669"/>
      <c r="B110" s="681"/>
      <c r="C110" s="730"/>
      <c r="D110" s="730"/>
      <c r="E110" s="730"/>
      <c r="F110" s="730"/>
      <c r="G110" s="730"/>
      <c r="H110" s="730"/>
      <c r="I110" s="730"/>
      <c r="J110" s="731"/>
      <c r="K110" s="731"/>
      <c r="L110" s="732"/>
      <c r="M110" s="733"/>
      <c r="N110" s="2147"/>
      <c r="O110" s="2147"/>
      <c r="P110" s="2148"/>
      <c r="Q110" s="2141"/>
      <c r="R110" s="2128"/>
      <c r="S110" s="2128"/>
      <c r="T110" s="2128"/>
      <c r="U110" s="2128"/>
      <c r="V110" s="2128"/>
      <c r="W110" s="2128"/>
      <c r="X110" s="2128"/>
      <c r="Y110" s="2128"/>
      <c r="Z110" s="2128"/>
      <c r="AA110" s="2128"/>
      <c r="AB110" s="2128"/>
      <c r="AC110" s="2128"/>
    </row>
    <row r="111" spans="1:29" ht="14.4" thickBot="1">
      <c r="A111" s="669"/>
      <c r="B111" s="678"/>
      <c r="C111" s="700"/>
      <c r="D111" s="726"/>
      <c r="E111" s="726"/>
      <c r="F111" s="726"/>
      <c r="G111" s="726"/>
      <c r="H111" s="726"/>
      <c r="I111" s="726"/>
      <c r="J111" s="726"/>
      <c r="K111" s="726"/>
      <c r="L111" s="726"/>
      <c r="M111" s="727"/>
      <c r="N111" s="2149"/>
      <c r="O111" s="2149"/>
      <c r="P111" s="2148"/>
      <c r="Q111" s="2141"/>
      <c r="R111" s="2128"/>
      <c r="S111" s="2128"/>
      <c r="T111" s="2128"/>
      <c r="U111" s="2128"/>
      <c r="V111" s="2128"/>
      <c r="W111" s="2128"/>
      <c r="X111" s="2128"/>
      <c r="Y111" s="2128"/>
      <c r="Z111" s="2128"/>
      <c r="AA111" s="2128"/>
      <c r="AB111" s="2128"/>
      <c r="AC111" s="2128"/>
    </row>
    <row r="112" spans="1:29" ht="15" thickTop="1">
      <c r="A112" s="735"/>
      <c r="B112" s="673" t="s">
        <v>594</v>
      </c>
      <c r="C112" s="718"/>
      <c r="D112" s="718"/>
      <c r="E112" s="718"/>
      <c r="F112" s="718"/>
      <c r="G112" s="718"/>
      <c r="H112" s="718"/>
      <c r="I112" s="718"/>
      <c r="J112" s="718"/>
      <c r="K112" s="719"/>
      <c r="L112" s="720"/>
      <c r="M112" s="721"/>
      <c r="N112" s="2147"/>
      <c r="O112" s="2147"/>
      <c r="P112" s="2148"/>
      <c r="Q112" s="2141"/>
      <c r="R112" s="2128"/>
      <c r="S112" s="2128"/>
      <c r="T112" s="2128"/>
      <c r="U112" s="2128"/>
      <c r="V112" s="2128"/>
      <c r="W112" s="2128"/>
      <c r="X112" s="2128"/>
      <c r="Y112" s="2128"/>
      <c r="Z112" s="2128"/>
      <c r="AA112" s="2128"/>
      <c r="AB112" s="2128"/>
      <c r="AC112" s="2128"/>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49"/>
      <c r="O113" s="2149"/>
      <c r="P113" s="2148"/>
      <c r="Q113" s="2141"/>
      <c r="R113" s="2128"/>
      <c r="S113" s="2128"/>
      <c r="T113" s="2128"/>
      <c r="U113" s="2128"/>
      <c r="V113" s="2128"/>
      <c r="W113" s="2128"/>
      <c r="X113" s="2128"/>
      <c r="Y113" s="2128"/>
      <c r="Z113" s="2128"/>
      <c r="AA113" s="2128"/>
      <c r="AB113" s="2128"/>
      <c r="AC113" s="2128"/>
    </row>
    <row r="114" spans="1:29" s="1335" customFormat="1" ht="15" thickTop="1">
      <c r="A114" s="728"/>
      <c r="B114" s="1879" t="s">
        <v>2422</v>
      </c>
      <c r="C114" s="1371"/>
      <c r="D114" s="1371"/>
      <c r="E114" s="1371"/>
      <c r="F114" s="1371"/>
      <c r="G114" s="1371"/>
      <c r="H114" s="718"/>
      <c r="I114" s="718"/>
      <c r="J114" s="718"/>
      <c r="K114" s="719"/>
      <c r="L114" s="720"/>
      <c r="M114" s="721"/>
      <c r="N114" s="2150"/>
      <c r="O114" s="2150"/>
      <c r="P114" s="2151"/>
      <c r="Q114" s="2152"/>
      <c r="R114" s="2153"/>
      <c r="S114" s="2153"/>
      <c r="T114" s="2153"/>
      <c r="U114" s="2153"/>
      <c r="V114" s="2153"/>
      <c r="W114" s="2153"/>
      <c r="X114" s="2153"/>
      <c r="Y114" s="2153"/>
      <c r="Z114" s="2153"/>
      <c r="AA114" s="2153"/>
      <c r="AB114" s="2153"/>
      <c r="AC114" s="2153"/>
    </row>
    <row r="115" spans="1:29" s="1335"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5"/>
      <c r="B116" s="673" t="s">
        <v>596</v>
      </c>
      <c r="C116" s="688"/>
      <c r="D116" s="688"/>
      <c r="E116" s="718"/>
      <c r="F116" s="718"/>
      <c r="G116" s="71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49"/>
      <c r="O117" s="2149"/>
      <c r="P117" s="2148"/>
      <c r="Q117" s="2141"/>
      <c r="R117" s="2128"/>
      <c r="S117" s="2128"/>
      <c r="T117" s="2128"/>
      <c r="U117" s="2128"/>
      <c r="V117" s="2128"/>
      <c r="W117" s="2128"/>
      <c r="X117" s="2128"/>
      <c r="Y117" s="2128"/>
      <c r="Z117" s="2128"/>
      <c r="AA117" s="2128"/>
      <c r="AB117" s="2128"/>
      <c r="AC117" s="2128"/>
    </row>
    <row r="118" spans="1:29" ht="14.4" thickTop="1">
      <c r="A118" s="735"/>
      <c r="B118" s="673">
        <f>B40</f>
        <v>111</v>
      </c>
      <c r="C118" s="688"/>
      <c r="D118" s="688"/>
      <c r="E118" s="688"/>
      <c r="F118" s="688"/>
      <c r="G118" s="688"/>
      <c r="H118" s="718"/>
      <c r="I118" s="718"/>
      <c r="J118" s="718"/>
      <c r="K118" s="719"/>
      <c r="L118" s="720"/>
      <c r="M118" s="721"/>
      <c r="N118" s="2147"/>
      <c r="O118" s="2147"/>
      <c r="P118" s="2148"/>
      <c r="Q118" s="2141"/>
      <c r="R118" s="2128"/>
      <c r="S118" s="2128"/>
      <c r="T118" s="2128"/>
      <c r="U118" s="2128"/>
      <c r="V118" s="2128"/>
      <c r="W118" s="2128"/>
      <c r="X118" s="2128"/>
      <c r="Y118" s="2128"/>
      <c r="Z118" s="2128"/>
      <c r="AA118" s="2128"/>
      <c r="AB118" s="2128"/>
      <c r="AC118" s="2128"/>
    </row>
    <row r="119" spans="1:29" ht="14.4" thickBot="1">
      <c r="A119" s="669"/>
      <c r="B119" s="678"/>
      <c r="C119" s="692"/>
      <c r="D119" s="671"/>
      <c r="E119" s="671"/>
      <c r="F119" s="671"/>
      <c r="G119" s="671"/>
      <c r="H119" s="671"/>
      <c r="I119" s="671"/>
      <c r="J119" s="671"/>
      <c r="K119" s="671"/>
      <c r="L119" s="671"/>
      <c r="M119" s="672"/>
      <c r="N119" s="2149"/>
      <c r="O119" s="2149"/>
      <c r="P119" s="2148"/>
      <c r="Q119" s="2141"/>
      <c r="R119" s="2128"/>
      <c r="S119" s="2128"/>
      <c r="T119" s="2128"/>
      <c r="U119" s="2128"/>
      <c r="V119" s="2128"/>
      <c r="W119" s="2128"/>
      <c r="X119" s="2128"/>
      <c r="Y119" s="2128"/>
      <c r="Z119" s="2128"/>
      <c r="AA119" s="2128"/>
      <c r="AB119" s="2128"/>
      <c r="AC119" s="2128"/>
    </row>
    <row r="120" spans="1:29" ht="14.4" thickTop="1">
      <c r="A120" s="735"/>
      <c r="B120" s="673">
        <f>B41</f>
        <v>111</v>
      </c>
      <c r="C120" s="688"/>
      <c r="D120" s="688"/>
      <c r="E120" s="688"/>
      <c r="F120" s="688"/>
      <c r="G120" s="718"/>
      <c r="H120" s="718"/>
      <c r="I120" s="718"/>
      <c r="J120" s="718"/>
      <c r="K120" s="719"/>
      <c r="L120" s="720"/>
      <c r="M120" s="721"/>
      <c r="N120" s="2147"/>
      <c r="O120" s="2147"/>
      <c r="P120" s="2148"/>
      <c r="Q120" s="2141"/>
      <c r="R120" s="2128"/>
      <c r="S120" s="2128"/>
      <c r="T120" s="2128"/>
      <c r="U120" s="2128"/>
      <c r="V120" s="2128"/>
      <c r="W120" s="2128"/>
      <c r="X120" s="2128"/>
      <c r="Y120" s="2128"/>
      <c r="Z120" s="2128"/>
      <c r="AA120" s="2128"/>
      <c r="AB120" s="2128"/>
      <c r="AC120" s="2128"/>
    </row>
    <row r="121" spans="1:29" ht="14.4" thickBot="1">
      <c r="A121" s="669"/>
      <c r="B121" s="678"/>
      <c r="C121" s="692"/>
      <c r="D121" s="692"/>
      <c r="E121" s="692"/>
      <c r="F121" s="692"/>
      <c r="G121" s="671"/>
      <c r="H121" s="671"/>
      <c r="I121" s="671"/>
      <c r="J121" s="671"/>
      <c r="K121" s="671"/>
      <c r="L121" s="671"/>
      <c r="M121" s="672"/>
      <c r="N121" s="2149"/>
      <c r="O121" s="2149"/>
      <c r="P121" s="2148"/>
      <c r="Q121" s="2141"/>
      <c r="R121" s="2128"/>
      <c r="S121" s="2128"/>
      <c r="T121" s="2128"/>
      <c r="U121" s="2128"/>
      <c r="V121" s="2128"/>
      <c r="W121" s="2128"/>
      <c r="X121" s="2128"/>
      <c r="Y121" s="2128"/>
      <c r="Z121" s="2128"/>
      <c r="AA121" s="2128"/>
      <c r="AB121" s="2128"/>
      <c r="AC121" s="2128"/>
    </row>
    <row r="122" spans="1:29" s="1335" customFormat="1" ht="14.4" thickTop="1">
      <c r="A122" s="728"/>
      <c r="B122" s="673">
        <f>B42</f>
        <v>111</v>
      </c>
      <c r="C122" s="661"/>
      <c r="D122" s="661"/>
      <c r="E122" s="661"/>
      <c r="F122" s="661"/>
      <c r="G122" s="689"/>
      <c r="H122" s="689"/>
      <c r="I122" s="689"/>
      <c r="J122" s="689"/>
      <c r="K122" s="689"/>
      <c r="L122" s="690"/>
      <c r="M122" s="691"/>
      <c r="N122" s="2150"/>
      <c r="O122" s="2150"/>
      <c r="P122" s="2151"/>
      <c r="Q122" s="2152"/>
      <c r="R122" s="2153"/>
      <c r="S122" s="2153"/>
      <c r="T122" s="2153"/>
      <c r="U122" s="2153"/>
      <c r="V122" s="2153"/>
      <c r="W122" s="2153"/>
      <c r="X122" s="2153"/>
      <c r="Y122" s="2153"/>
      <c r="Z122" s="2153"/>
      <c r="AA122" s="2153"/>
      <c r="AB122" s="2153"/>
      <c r="AC122" s="2153"/>
    </row>
    <row r="123" spans="1:29" s="1335" customFormat="1" ht="14.4" thickBot="1">
      <c r="A123" s="698"/>
      <c r="B123" s="736"/>
      <c r="C123" s="700"/>
      <c r="D123" s="700"/>
      <c r="E123" s="700"/>
      <c r="F123" s="700"/>
      <c r="G123" s="726"/>
      <c r="H123" s="726"/>
      <c r="I123" s="726"/>
      <c r="J123" s="726"/>
      <c r="K123" s="726"/>
      <c r="L123" s="726"/>
      <c r="M123" s="727"/>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33"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9" xr:uid="{00000000-0002-0000-1400-00000A000000}">
      <formula1>"商业,办公,住宅,工业"</formula1>
    </dataValidation>
    <dataValidation type="list" allowBlank="1" showInputMessage="1" showErrorMessage="1" sqref="G60" xr:uid="{00000000-0002-0000-1400-00000B000000}">
      <formula1>"住宅,工业"</formula1>
    </dataValidation>
    <dataValidation type="list" allowBlank="1" showInputMessage="1" showErrorMessage="1" sqref="D54:D62" xr:uid="{00000000-0002-0000-1400-00000C000000}">
      <formula1>"25%,1"</formula1>
    </dataValidation>
    <dataValidation type="list" allowBlank="1" showInputMessage="1" showErrorMessage="1" sqref="C18 E18 G18 I18" xr:uid="{00000000-0002-0000-1400-00000D000000}">
      <formula1>产业集聚程度</formula1>
    </dataValidation>
    <dataValidation type="list" allowBlank="1" showInputMessage="1" showErrorMessage="1" sqref="C28 E28 G28 I28" xr:uid="{00000000-0002-0000-1400-00000E000000}">
      <formula1>基础设施水平</formula1>
    </dataValidation>
    <dataValidation type="list" allowBlank="1" showInputMessage="1" showErrorMessage="1" sqref="C31 E31 G31 I31" xr:uid="{00000000-0002-0000-1400-00000F000000}">
      <formula1>套工临街等级</formula1>
    </dataValidation>
    <dataValidation type="list" allowBlank="1" showInputMessage="1" showErrorMessage="1" sqref="C37 E37 G37 I37" xr:uid="{00000000-0002-0000-1400-000010000000}">
      <formula1>套工宗地形状</formula1>
    </dataValidation>
    <dataValidation type="list" allowBlank="1" showInputMessage="1" showErrorMessage="1" sqref="C38 E38 G38 I38" xr:uid="{00000000-0002-0000-1400-000011000000}">
      <formula1>套工开发程度</formula1>
    </dataValidation>
    <dataValidation type="list" allowBlank="1" showInputMessage="1" showErrorMessage="1" sqref="C39 E39 G39 I39" xr:uid="{00000000-0002-0000-1400-000012000000}">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zoomScale="80" zoomScaleNormal="80" workbookViewId="0">
      <selection activeCell="H19" sqref="H19"/>
    </sheetView>
  </sheetViews>
  <sheetFormatPr defaultColWidth="12" defaultRowHeight="12"/>
  <cols>
    <col min="1" max="1" width="9.77734375" style="1400" customWidth="1"/>
    <col min="2" max="2" width="20.88671875" style="1515" customWidth="1"/>
    <col min="3" max="4" width="12" style="1401"/>
    <col min="5" max="5" width="14.6640625" style="1401" customWidth="1"/>
    <col min="6" max="8" width="12" style="1401"/>
    <col min="9" max="9" width="12.21875" style="1401" bestFit="1" customWidth="1"/>
    <col min="10" max="10" width="12" style="1401"/>
    <col min="11" max="11" width="9.6640625" style="1398" customWidth="1"/>
    <col min="12" max="12" width="12" style="1401"/>
    <col min="13" max="14" width="10.6640625" style="1401" customWidth="1"/>
    <col min="15" max="17" width="12" style="1401"/>
    <col min="18" max="18" width="12" style="1400"/>
    <col min="19" max="22" width="15.44140625" style="1400" customWidth="1"/>
    <col min="23" max="28" width="12" style="1401"/>
    <col min="29" max="29" width="9.33203125" style="1400" customWidth="1"/>
    <col min="30" max="35" width="9.33203125" style="1399" customWidth="1"/>
    <col min="36" max="39" width="9.33203125" style="1400" customWidth="1"/>
    <col min="40" max="41" width="9.33203125" style="1401" customWidth="1"/>
    <col min="42" max="16384" width="12" style="1401"/>
  </cols>
  <sheetData>
    <row r="1" spans="1:39" ht="20.399999999999999">
      <c r="A1" s="1395" t="s">
        <v>1693</v>
      </c>
      <c r="B1" s="1396"/>
      <c r="C1" s="1402" t="s">
        <v>2423</v>
      </c>
      <c r="D1" s="1508">
        <f>SUM(D29:D30,D33:D39)</f>
        <v>0</v>
      </c>
      <c r="E1" s="1402" t="s">
        <v>2424</v>
      </c>
      <c r="F1" s="2414"/>
      <c r="G1" s="1397"/>
      <c r="H1" s="1397"/>
      <c r="I1" s="1397"/>
      <c r="J1" s="1397"/>
      <c r="K1" s="1397"/>
      <c r="L1" s="1865" t="s">
        <v>2235</v>
      </c>
      <c r="M1" s="1866">
        <f>SUMPRODUCT((区片价!B5:B9=I2)*(区片价!C3:F3=E2)*(区片价!C5:F9))</f>
        <v>0</v>
      </c>
      <c r="N1" s="1867">
        <f>SUMPRODUCT((因素修正幅度!B5:B9=I2)*(因素修正幅度!C3:F3=E2)*(因素修正幅度!C5:F9))</f>
        <v>0</v>
      </c>
      <c r="O1" s="1397"/>
      <c r="P1" s="1397"/>
      <c r="Q1" s="2172"/>
      <c r="R1" s="2889" t="s">
        <v>2758</v>
      </c>
      <c r="S1" s="2889" t="s">
        <v>2759</v>
      </c>
      <c r="T1" s="2889" t="s">
        <v>2780</v>
      </c>
      <c r="U1" s="2889" t="s">
        <v>2781</v>
      </c>
      <c r="V1" s="2889" t="s">
        <v>2782</v>
      </c>
      <c r="W1" s="2172"/>
      <c r="X1" s="2172"/>
      <c r="Y1" s="2172"/>
      <c r="Z1" s="2172"/>
      <c r="AA1" s="2172"/>
      <c r="AB1" s="2172"/>
      <c r="AC1" s="2173"/>
    </row>
    <row r="2" spans="1:39" ht="15.6">
      <c r="A2" s="1402" t="s">
        <v>920</v>
      </c>
      <c r="B2" s="1038" t="e">
        <f>C26</f>
        <v>#DIV/0!</v>
      </c>
      <c r="C2" s="1403" t="s">
        <v>921</v>
      </c>
      <c r="D2" s="1404" t="s">
        <v>922</v>
      </c>
      <c r="E2" s="1405"/>
      <c r="F2" s="1404" t="s">
        <v>924</v>
      </c>
      <c r="G2" s="1637">
        <f>IF(E2="商业",项目基本情况!B43,IF(E2="办公",项目基本情况!C43,IF(E2="住宅",项目基本情况!D43,项目基本情况!E43)))</f>
        <v>0</v>
      </c>
      <c r="H2" s="1404" t="s">
        <v>926</v>
      </c>
      <c r="I2" s="1638">
        <f>IF(E2="商业",项目基本情况!B44,IF(E2="办公",项目基本情况!C44,IF(E2="住宅",项目基本情况!D44,项目基本情况!E44)))</f>
        <v>0</v>
      </c>
      <c r="J2" s="1406"/>
      <c r="K2" s="1406"/>
      <c r="L2" s="1868" t="s">
        <v>2236</v>
      </c>
      <c r="M2" s="1869">
        <f>SUMPRODUCT((区片价!B10:B28=I2)*(区片价!C3:F3=E2)*(区片价!C10:F28))</f>
        <v>0</v>
      </c>
      <c r="N2" s="1870">
        <f>SUMPRODUCT((因素修正幅度!B10:B28=I2)*(因素修正幅度!C3:F3=E2)*(因素修正幅度!C10:F28))</f>
        <v>0</v>
      </c>
      <c r="O2" s="1406"/>
      <c r="P2" s="1397"/>
      <c r="Q2" s="2172"/>
      <c r="R2" s="2890">
        <v>1</v>
      </c>
      <c r="S2" s="2890">
        <f>ROUND(IF(G3&gt;1,IF(R2&lt;7,SUMPRODUCT((B93:B98=R2)*(C92:N92=G2)*(C93:N98)),SUMIF(C92:N92,G2,C100:N100)),IF(R2&lt;7,SUMPRODUCT((B102:B107=R2)*(C92:N92=G2)*(C102:N107)),SUMIF(C92:N92,G2,C109:N109))),4)</f>
        <v>0</v>
      </c>
      <c r="T2" s="2890" t="e">
        <f>ROUND($C$5*$C$18*$C$19*$C$20*S2*$C$24,0)</f>
        <v>#DIV/0!</v>
      </c>
      <c r="U2" s="2879"/>
      <c r="V2" s="2890" t="e">
        <f>ROUND(T2*U2/10000,0)</f>
        <v>#DIV/0!</v>
      </c>
      <c r="W2" s="2172"/>
      <c r="X2" s="2172"/>
      <c r="Y2" s="2172"/>
      <c r="Z2" s="2172"/>
      <c r="AA2" s="2172"/>
      <c r="AB2" s="2172"/>
      <c r="AC2" s="2173"/>
    </row>
    <row r="3" spans="1:39" ht="15.6">
      <c r="A3" s="1407" t="s">
        <v>1686</v>
      </c>
      <c r="B3" s="1038" t="e">
        <f>ROUND(B2*10000/D1,0)</f>
        <v>#DIV/0!</v>
      </c>
      <c r="C3" s="1403" t="s">
        <v>927</v>
      </c>
      <c r="D3" s="1404" t="s">
        <v>928</v>
      </c>
      <c r="E3" s="1408"/>
      <c r="F3" s="1409"/>
      <c r="G3" s="1039">
        <f>IF(F3="宗地容积率",'数据-汇总表'!I4,IF(F3="估价对象容积率",'数据-汇总表'!I6,'数据-汇总表'!I7))</f>
        <v>3.5</v>
      </c>
      <c r="H3" s="1410" t="s">
        <v>929</v>
      </c>
      <c r="I3" s="1040">
        <v>8</v>
      </c>
      <c r="J3" s="1406" t="s">
        <v>930</v>
      </c>
      <c r="K3" s="1406"/>
      <c r="L3" s="1868" t="s">
        <v>2237</v>
      </c>
      <c r="M3" s="1869">
        <f>SUMPRODUCT((区片价!B29:B48=I2)*(区片价!C3:F3=E2)*(区片价!C29:F48))</f>
        <v>0</v>
      </c>
      <c r="N3" s="1870">
        <f>SUMPRODUCT((因素修正幅度!B29:B48=I2)*(因素修正幅度!C3:F3=E2)*(因素修正幅度!C29:F48))</f>
        <v>0</v>
      </c>
      <c r="O3" s="1406"/>
      <c r="P3" s="1397"/>
      <c r="Q3" s="2172"/>
      <c r="R3" s="2890">
        <v>2</v>
      </c>
      <c r="S3" s="2890">
        <f>ROUND(IF(G3&gt;1,IF(R3&lt;7,SUMPRODUCT((B93:B98=R3)*(C92:N92=G2)*(C93:N98)),SUMIF(C92:N92,G2,C100:N100)),IF(R3&lt;7,SUMPRODUCT((B102:B107=R3)*(C92:N92=G2)*(C102:N107)),SUMIF(C92:N92,G2,C109:N109))),4)</f>
        <v>0</v>
      </c>
      <c r="T3" s="2890" t="e">
        <f t="shared" ref="T3:T16" si="0">ROUND($C$5*$C$18*$C$19*$C$20*S3*$C$24,0)</f>
        <v>#DIV/0!</v>
      </c>
      <c r="U3" s="2879"/>
      <c r="V3" s="2890" t="e">
        <f t="shared" ref="V3:V16" si="1">ROUND(T3*U3/10000,0)</f>
        <v>#DIV/0!</v>
      </c>
      <c r="W3" s="2172"/>
      <c r="X3" s="2172"/>
      <c r="Y3" s="2172"/>
      <c r="Z3" s="2172"/>
      <c r="AA3" s="2172"/>
      <c r="AB3" s="2172"/>
      <c r="AC3" s="2173"/>
    </row>
    <row r="4" spans="1:39" ht="31.2">
      <c r="A4" s="1874" t="s">
        <v>2277</v>
      </c>
      <c r="B4" s="2415" t="e">
        <f>ROUND(B2*10000/F1,0)</f>
        <v>#DIV/0!</v>
      </c>
      <c r="C4" s="1877" t="s">
        <v>2251</v>
      </c>
      <c r="D4" s="1877" t="e">
        <f>ROUND(B2/(F1/666.67),0)</f>
        <v>#DIV/0!</v>
      </c>
      <c r="E4" s="1877" t="s">
        <v>2252</v>
      </c>
      <c r="F4" s="1875"/>
      <c r="G4" s="1875"/>
      <c r="H4" s="1875"/>
      <c r="I4" s="1875"/>
      <c r="J4" s="1876"/>
      <c r="K4" s="3143"/>
      <c r="L4" s="1868" t="s">
        <v>2238</v>
      </c>
      <c r="M4" s="1869">
        <f>SUMPRODUCT((区片价!B49:B75=I2)*(区片价!C3:F3=E2)*(区片价!C49:F75))</f>
        <v>0</v>
      </c>
      <c r="N4" s="1870">
        <f>SUMPRODUCT((因素修正幅度!B49:B75=I2)*(因素修正幅度!C3:F3=E2)*(因素修正幅度!C49:F75))</f>
        <v>0</v>
      </c>
      <c r="O4" s="3143"/>
      <c r="P4" s="1397"/>
      <c r="Q4" s="2172"/>
      <c r="R4" s="2890">
        <v>3</v>
      </c>
      <c r="S4" s="2890">
        <f>ROUND(IF(G3&gt;1,IF(R4&lt;7,SUMPRODUCT((B93:B98=R4)*(C92:N92=G2)*(C93:N98)),SUMIF(C92:N92,G2,C100:N100)),IF(R4&lt;7,SUMPRODUCT((B102:B107=R4)*(C92:N92=G2)*(C102:N107)),SUMIF(C92:N92,G2,C109:N109))),4)</f>
        <v>0</v>
      </c>
      <c r="T4" s="2890" t="e">
        <f t="shared" si="0"/>
        <v>#DIV/0!</v>
      </c>
      <c r="U4" s="2879"/>
      <c r="V4" s="2890" t="e">
        <f t="shared" si="1"/>
        <v>#DIV/0!</v>
      </c>
      <c r="W4" s="2172"/>
      <c r="X4" s="2172"/>
      <c r="Y4" s="2172"/>
      <c r="Z4" s="2172"/>
      <c r="AA4" s="2172"/>
      <c r="AB4" s="2172"/>
      <c r="AC4" s="2173"/>
    </row>
    <row r="5" spans="1:39" s="1417" customFormat="1" ht="15.6" thickBot="1">
      <c r="A5" s="1623" t="s">
        <v>1822</v>
      </c>
      <c r="B5" s="1411" t="s">
        <v>931</v>
      </c>
      <c r="C5" s="1041" t="e">
        <f>ROUND(IF(E2="商业",C6*C7+C16,(IF(E2="住宅",C6*C12+C16,C6+C16))),0)</f>
        <v>#DIV/0!</v>
      </c>
      <c r="D5" s="3067" t="e">
        <f>ROUND(C6+C16,0)</f>
        <v>#DIV/0!</v>
      </c>
      <c r="E5" s="3067"/>
      <c r="F5" s="1412"/>
      <c r="G5" s="1413"/>
      <c r="H5" s="1413"/>
      <c r="I5" s="1413"/>
      <c r="J5" s="1414"/>
      <c r="K5" s="3144"/>
      <c r="L5" s="1868" t="s">
        <v>2239</v>
      </c>
      <c r="M5" s="1869">
        <f>SUMPRODUCT((区片价!B76:B109=I2)*(区片价!C3:F3=E2)*(区片价!C76:F109))</f>
        <v>0</v>
      </c>
      <c r="N5" s="1870">
        <f>SUMPRODUCT((因素修正幅度!B76:B109=I2)*(因素修正幅度!C3:F3=E2)*(因素修正幅度!C76:F109))</f>
        <v>0</v>
      </c>
      <c r="O5" s="3144"/>
      <c r="P5" s="1580"/>
      <c r="Q5" s="2172"/>
      <c r="R5" s="2890">
        <v>4</v>
      </c>
      <c r="S5" s="2890">
        <f>ROUND(IF(G3&gt;1,IF(R5&lt;7,SUMPRODUCT((B93:B98=R5)*(C92:N92=G2)*(C93:N98)),SUMIF(C92:N92,G2,C100:N100)),IF(R5&lt;7,SUMPRODUCT((B102:B107=R5)*(C92:N92=G2)*(C102:N107)),SUMIF(C92:N92,G2,C109:N109))),4)</f>
        <v>0</v>
      </c>
      <c r="T5" s="2890" t="e">
        <f t="shared" si="0"/>
        <v>#DIV/0!</v>
      </c>
      <c r="U5" s="2879"/>
      <c r="V5" s="2890" t="e">
        <f t="shared" si="1"/>
        <v>#DIV/0!</v>
      </c>
      <c r="W5" s="2172"/>
      <c r="X5" s="2172"/>
      <c r="Y5" s="2172"/>
      <c r="Z5" s="2172"/>
      <c r="AA5" s="2172"/>
      <c r="AB5" s="2172"/>
      <c r="AC5" s="2174"/>
      <c r="AD5" s="1415"/>
      <c r="AE5" s="1415"/>
      <c r="AF5" s="1415"/>
      <c r="AG5" s="1415"/>
      <c r="AH5" s="1415"/>
      <c r="AI5" s="1415"/>
      <c r="AJ5" s="1416"/>
      <c r="AK5" s="1416"/>
      <c r="AL5" s="1416"/>
      <c r="AM5" s="1416"/>
    </row>
    <row r="6" spans="1:39" ht="15.6" thickBot="1">
      <c r="A6" s="1624" t="s">
        <v>1869</v>
      </c>
      <c r="B6" s="1418" t="s">
        <v>931</v>
      </c>
      <c r="C6" s="1042">
        <f>SUMIF(L1:L12,基准地价!G2,M1:M12)</f>
        <v>0</v>
      </c>
      <c r="D6" s="1419" t="s">
        <v>1694</v>
      </c>
      <c r="E6" s="1420"/>
      <c r="F6" s="1420"/>
      <c r="G6" s="1421"/>
      <c r="H6" s="1421"/>
      <c r="I6" s="1421"/>
      <c r="J6" s="1422"/>
      <c r="K6" s="1452"/>
      <c r="L6" s="1868" t="s">
        <v>2240</v>
      </c>
      <c r="M6" s="1869">
        <f>SUMPRODUCT((区片价!B110:B157=I2)*(区片价!C3:F3=E2)*(区片价!C110:F157))</f>
        <v>0</v>
      </c>
      <c r="N6" s="1870">
        <f>SUMPRODUCT((因素修正幅度!B110:B157=I2)*(因素修正幅度!C3:F3=E2)*(因素修正幅度!C110:F157))</f>
        <v>0</v>
      </c>
      <c r="O6" s="1452"/>
      <c r="P6" s="1581"/>
      <c r="Q6" s="2172"/>
      <c r="R6" s="2890">
        <v>5</v>
      </c>
      <c r="S6" s="2890">
        <f>ROUND(IF(G3&gt;1,IF(R6&lt;7,SUMPRODUCT((B93:B98=R6)*(C92:N92=G2)*(C93:N98)),SUMIF(C92:N92,G2,C100:N100)),IF(R6&lt;7,SUMPRODUCT((B102:B107=R6)*(C92:N92=G2)*(C102:N107)),SUMIF(C92:N92,G2,C109:N109))),4)</f>
        <v>0</v>
      </c>
      <c r="T6" s="2890" t="e">
        <f t="shared" si="0"/>
        <v>#DIV/0!</v>
      </c>
      <c r="U6" s="2879"/>
      <c r="V6" s="2890" t="e">
        <f t="shared" si="1"/>
        <v>#DIV/0!</v>
      </c>
      <c r="W6" s="2172"/>
      <c r="X6" s="2172"/>
      <c r="Y6" s="2172"/>
      <c r="Z6" s="2172"/>
      <c r="AA6" s="2172"/>
      <c r="AB6" s="2172"/>
      <c r="AC6" s="2174"/>
      <c r="AD6" s="1415"/>
      <c r="AE6" s="1415"/>
      <c r="AF6" s="1415"/>
      <c r="AG6" s="1415"/>
      <c r="AH6" s="1415"/>
      <c r="AI6" s="1415"/>
      <c r="AJ6" s="1416"/>
    </row>
    <row r="7" spans="1:39" ht="24">
      <c r="A7" s="3547" t="str">
        <f>IF(E2="商业",IF(C8="不临58条商业街","",2),"")</f>
        <v/>
      </c>
      <c r="B7" s="1423" t="s">
        <v>932</v>
      </c>
      <c r="C7" s="1043" t="e">
        <f>IF(C8="不临58条商业街",1,ROUND(1+(1.6*E8+1.2*E9+0.8*E10+0.4*E11)*C9,4))</f>
        <v>#DIV/0!</v>
      </c>
      <c r="D7" s="1424" t="s">
        <v>933</v>
      </c>
      <c r="E7" s="1044"/>
      <c r="F7" s="1425"/>
      <c r="G7" s="1426"/>
      <c r="H7" s="1426"/>
      <c r="I7" s="1426"/>
      <c r="J7" s="1427"/>
      <c r="K7" s="1452"/>
      <c r="L7" s="1868" t="s">
        <v>2241</v>
      </c>
      <c r="M7" s="1869">
        <f>SUMPRODUCT((区片价!B158:B205=I2)*(区片价!C3:F3=E2)*(区片价!C158:F205))</f>
        <v>0</v>
      </c>
      <c r="N7" s="1870">
        <f>SUMPRODUCT((因素修正幅度!B158:B205=I2)*(因素修正幅度!C3:F3=E2)*(因素修正幅度!C158:F205))</f>
        <v>0</v>
      </c>
      <c r="O7" s="1452"/>
      <c r="P7" s="1581"/>
      <c r="Q7" s="2172"/>
      <c r="R7" s="2890">
        <v>6</v>
      </c>
      <c r="S7" s="2890">
        <f>ROUND(IF(G3&gt;1,IF(R7&lt;7,SUMPRODUCT((B93:B98=R7)*(C92:N92=G2)*(C93:N98)),SUMIF(C92:N92,G2,C100:N100)),IF(R7&lt;7,SUMPRODUCT((B102:B107=R7)*(C92:N92=G2)*(C102:N107)),SUMIF(C92:N92,G2,C109:N109))),4)</f>
        <v>0</v>
      </c>
      <c r="T7" s="2890" t="e">
        <f t="shared" si="0"/>
        <v>#DIV/0!</v>
      </c>
      <c r="U7" s="2879"/>
      <c r="V7" s="2890" t="e">
        <f t="shared" si="1"/>
        <v>#DIV/0!</v>
      </c>
      <c r="W7" s="2888" t="s">
        <v>2761</v>
      </c>
      <c r="X7" s="2880">
        <f>G2</f>
        <v>0</v>
      </c>
      <c r="Y7" s="2880" t="s">
        <v>2762</v>
      </c>
      <c r="Z7" s="2881">
        <f>G3</f>
        <v>3.5</v>
      </c>
      <c r="AA7" s="2175"/>
      <c r="AB7" s="2175"/>
      <c r="AC7" s="2176"/>
      <c r="AD7" s="2882"/>
      <c r="AE7" s="2882"/>
      <c r="AF7" s="2882"/>
      <c r="AG7" s="2882"/>
      <c r="AH7" s="2882"/>
      <c r="AI7" s="2882"/>
      <c r="AJ7" s="2883"/>
    </row>
    <row r="8" spans="1:39" ht="15">
      <c r="A8" s="3548"/>
      <c r="B8" s="1410" t="s">
        <v>934</v>
      </c>
      <c r="C8" s="1516"/>
      <c r="D8" s="1045" t="s">
        <v>935</v>
      </c>
      <c r="E8" s="1046" t="e">
        <f>ROUND(C11/E7,4)</f>
        <v>#DIV/0!</v>
      </c>
      <c r="F8" s="1428" t="s">
        <v>936</v>
      </c>
      <c r="G8" s="1429"/>
      <c r="H8" s="1429"/>
      <c r="I8" s="1429"/>
      <c r="J8" s="1430"/>
      <c r="K8" s="1452"/>
      <c r="L8" s="1868" t="s">
        <v>2242</v>
      </c>
      <c r="M8" s="1869">
        <f>SUMPRODUCT((区片价!B206:B244=I2)*(区片价!C3:F3=E2)*(区片价!C206:F244))</f>
        <v>0</v>
      </c>
      <c r="N8" s="1870">
        <f>SUMPRODUCT((因素修正幅度!B206:B244=I2)*(因素修正幅度!C3:F3=E2)*(因素修正幅度!C206:F244))</f>
        <v>0</v>
      </c>
      <c r="O8" s="1452"/>
      <c r="P8" s="1397"/>
      <c r="Q8" s="2172"/>
      <c r="R8" s="2890">
        <v>7</v>
      </c>
      <c r="S8" s="2879"/>
      <c r="T8" s="2890" t="e">
        <f t="shared" si="0"/>
        <v>#DIV/0!</v>
      </c>
      <c r="U8" s="2879"/>
      <c r="V8" s="2890" t="e">
        <f t="shared" si="1"/>
        <v>#DIV/0!</v>
      </c>
      <c r="W8" s="3558" t="s">
        <v>2779</v>
      </c>
      <c r="X8" s="3559"/>
      <c r="Y8" s="1832" t="s">
        <v>2763</v>
      </c>
      <c r="Z8" s="1832" t="s">
        <v>2764</v>
      </c>
      <c r="AA8" s="1832" t="s">
        <v>2765</v>
      </c>
      <c r="AB8" s="1832" t="s">
        <v>2766</v>
      </c>
      <c r="AC8" s="1832" t="s">
        <v>2767</v>
      </c>
      <c r="AD8" s="1832" t="s">
        <v>2768</v>
      </c>
      <c r="AE8" s="1832" t="s">
        <v>2769</v>
      </c>
      <c r="AF8" s="1832" t="s">
        <v>2770</v>
      </c>
      <c r="AG8" s="1832" t="s">
        <v>2771</v>
      </c>
      <c r="AH8" s="1832" t="s">
        <v>2772</v>
      </c>
      <c r="AI8" s="1832" t="s">
        <v>2773</v>
      </c>
      <c r="AJ8" s="1832" t="s">
        <v>2774</v>
      </c>
    </row>
    <row r="9" spans="1:39" ht="15">
      <c r="A9" s="3548"/>
      <c r="B9" s="1410" t="s">
        <v>937</v>
      </c>
      <c r="C9" s="1047">
        <f>SUMIF(修正!C59:C119,C8,修正!E59:E119)</f>
        <v>0</v>
      </c>
      <c r="D9" s="1048" t="s">
        <v>938</v>
      </c>
      <c r="E9" s="1048" t="e">
        <f>ROUND(C11/E7,4)</f>
        <v>#DIV/0!</v>
      </c>
      <c r="F9" s="1428" t="s">
        <v>939</v>
      </c>
      <c r="G9" s="1429"/>
      <c r="H9" s="1429"/>
      <c r="I9" s="1429"/>
      <c r="J9" s="1430"/>
      <c r="K9" s="1452"/>
      <c r="L9" s="1868" t="s">
        <v>2243</v>
      </c>
      <c r="M9" s="1869">
        <f>SUMPRODUCT((区片价!B245:B289=I2)*(区片价!C3:F3=E2)*(区片价!C245:F289))</f>
        <v>0</v>
      </c>
      <c r="N9" s="1870">
        <f>SUMPRODUCT((因素修正幅度!B245:B289=I2)*(因素修正幅度!C3:F3=E2)*(因素修正幅度!C245:F289))</f>
        <v>0</v>
      </c>
      <c r="O9" s="1452"/>
      <c r="P9" s="1397"/>
      <c r="Q9" s="2172"/>
      <c r="R9" s="2890">
        <v>8</v>
      </c>
      <c r="S9" s="2879"/>
      <c r="T9" s="2890" t="e">
        <f t="shared" si="0"/>
        <v>#DIV/0!</v>
      </c>
      <c r="U9" s="2879"/>
      <c r="V9" s="2890" t="e">
        <f t="shared" si="1"/>
        <v>#DIV/0!</v>
      </c>
      <c r="W9" s="3557" t="s">
        <v>2775</v>
      </c>
      <c r="X9" s="2884" t="s">
        <v>2776</v>
      </c>
      <c r="Y9" s="3045"/>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3548"/>
      <c r="B10" s="1410" t="s">
        <v>940</v>
      </c>
      <c r="C10" s="1048">
        <f>SUMIF(修正!C59:C119,C8,修正!F59:F119)</f>
        <v>0</v>
      </c>
      <c r="D10" s="1048" t="s">
        <v>941</v>
      </c>
      <c r="E10" s="1048" t="e">
        <f>ROUND(C11/E7,4)</f>
        <v>#DIV/0!</v>
      </c>
      <c r="F10" s="1428" t="s">
        <v>942</v>
      </c>
      <c r="G10" s="1429"/>
      <c r="H10" s="1429"/>
      <c r="I10" s="1429"/>
      <c r="J10" s="1430"/>
      <c r="K10" s="1452"/>
      <c r="L10" s="1868" t="s">
        <v>2244</v>
      </c>
      <c r="M10" s="1869">
        <f>SUMPRODUCT((区片价!B290:B316=I2)*(区片价!C3:F3=E2)*(区片价!C290:F316))</f>
        <v>0</v>
      </c>
      <c r="N10" s="1870">
        <f>SUMPRODUCT((因素修正幅度!B290:B316=I2)*(因素修正幅度!C3:F3=E2)*(因素修正幅度!C290:F316))</f>
        <v>0</v>
      </c>
      <c r="O10" s="1452"/>
      <c r="P10" s="1397"/>
      <c r="Q10" s="2172"/>
      <c r="R10" s="2890">
        <v>9</v>
      </c>
      <c r="S10" s="2879"/>
      <c r="T10" s="2890" t="e">
        <f t="shared" si="0"/>
        <v>#DIV/0!</v>
      </c>
      <c r="U10" s="2879"/>
      <c r="V10" s="2890" t="e">
        <f t="shared" si="1"/>
        <v>#DIV/0!</v>
      </c>
      <c r="W10" s="3557"/>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3548"/>
      <c r="B11" s="1431" t="s">
        <v>943</v>
      </c>
      <c r="C11" s="1049">
        <f>C10/4</f>
        <v>0</v>
      </c>
      <c r="D11" s="1049" t="s">
        <v>944</v>
      </c>
      <c r="E11" s="1049" t="e">
        <f>ROUND(C11/E7,4)</f>
        <v>#DIV/0!</v>
      </c>
      <c r="F11" s="1432" t="s">
        <v>945</v>
      </c>
      <c r="G11" s="1433"/>
      <c r="H11" s="1433"/>
      <c r="I11" s="1433"/>
      <c r="J11" s="1434"/>
      <c r="K11" s="1452"/>
      <c r="L11" s="1868" t="s">
        <v>2245</v>
      </c>
      <c r="M11" s="1869">
        <f>SUMPRODUCT((区片价!B317:B337=I2)*(区片价!C3:F3=E2)*(区片价!C317:F337))</f>
        <v>0</v>
      </c>
      <c r="N11" s="1870">
        <f>SUMPRODUCT((因素修正幅度!B317:B337=I2)*(因素修正幅度!C3:F3=E2)*(因素修正幅度!C317:F337))</f>
        <v>0</v>
      </c>
      <c r="O11" s="1452"/>
      <c r="P11" s="1397"/>
      <c r="Q11" s="2172"/>
      <c r="R11" s="2890">
        <v>10</v>
      </c>
      <c r="S11" s="2879"/>
      <c r="T11" s="2890" t="e">
        <f t="shared" si="0"/>
        <v>#DIV/0!</v>
      </c>
      <c r="U11" s="2879"/>
      <c r="V11" s="2890" t="e">
        <f t="shared" si="1"/>
        <v>#DIV/0!</v>
      </c>
      <c r="W11" s="3557" t="s">
        <v>2777</v>
      </c>
      <c r="X11" s="1048" t="s">
        <v>2762</v>
      </c>
      <c r="Y11" s="1638">
        <f>$G$3</f>
        <v>3.5</v>
      </c>
      <c r="Z11" s="1638">
        <f t="shared" ref="Z11:AJ11" si="3">$G$3</f>
        <v>3.5</v>
      </c>
      <c r="AA11" s="1638">
        <f t="shared" si="3"/>
        <v>3.5</v>
      </c>
      <c r="AB11" s="1638">
        <f t="shared" si="3"/>
        <v>3.5</v>
      </c>
      <c r="AC11" s="1638">
        <f t="shared" si="3"/>
        <v>3.5</v>
      </c>
      <c r="AD11" s="1638">
        <f t="shared" si="3"/>
        <v>3.5</v>
      </c>
      <c r="AE11" s="1638">
        <f t="shared" si="3"/>
        <v>3.5</v>
      </c>
      <c r="AF11" s="1638">
        <f t="shared" si="3"/>
        <v>3.5</v>
      </c>
      <c r="AG11" s="1638">
        <f t="shared" si="3"/>
        <v>3.5</v>
      </c>
      <c r="AH11" s="1638">
        <f t="shared" si="3"/>
        <v>3.5</v>
      </c>
      <c r="AI11" s="1638">
        <f t="shared" si="3"/>
        <v>3.5</v>
      </c>
      <c r="AJ11" s="1638">
        <f t="shared" si="3"/>
        <v>3.5</v>
      </c>
    </row>
    <row r="12" spans="1:39" ht="25.8" thickBot="1">
      <c r="A12" s="3547" t="s">
        <v>1870</v>
      </c>
      <c r="B12" s="1435" t="s">
        <v>946</v>
      </c>
      <c r="C12" s="1043">
        <f>ROUND(C15*D15*E15*F15*G15*H15*I15*J15,4)</f>
        <v>1</v>
      </c>
      <c r="D12" s="1436" t="s">
        <v>947</v>
      </c>
      <c r="E12" s="1437"/>
      <c r="F12" s="1437"/>
      <c r="G12" s="1438"/>
      <c r="H12" s="1438"/>
      <c r="I12" s="1438"/>
      <c r="J12" s="1439"/>
      <c r="K12" s="1452"/>
      <c r="L12" s="1871" t="s">
        <v>2246</v>
      </c>
      <c r="M12" s="1872">
        <f>SUMPRODUCT((区片价!B338:B344=I2)*(区片价!C3:F3=E2)*(区片价!C338:F344))</f>
        <v>0</v>
      </c>
      <c r="N12" s="1873">
        <f>SUMPRODUCT((因素修正幅度!B338:B344=I2)*(因素修正幅度!C3:F3=E2)*(因素修正幅度!C338:F344))</f>
        <v>0</v>
      </c>
      <c r="O12" s="1452"/>
      <c r="P12" s="1397"/>
      <c r="Q12" s="2172"/>
      <c r="R12" s="2890">
        <v>11</v>
      </c>
      <c r="S12" s="2879"/>
      <c r="T12" s="2890" t="e">
        <f t="shared" si="0"/>
        <v>#DIV/0!</v>
      </c>
      <c r="U12" s="2879"/>
      <c r="V12" s="2890" t="e">
        <f t="shared" si="1"/>
        <v>#DIV/0!</v>
      </c>
      <c r="W12" s="3557"/>
      <c r="X12" s="2887" t="s">
        <v>2778</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3549"/>
      <c r="B13" s="1440" t="s">
        <v>1695</v>
      </c>
      <c r="C13" s="1441" t="s">
        <v>1696</v>
      </c>
      <c r="D13" s="1085" t="s">
        <v>1697</v>
      </c>
      <c r="E13" s="1085" t="s">
        <v>1698</v>
      </c>
      <c r="F13" s="1442" t="s">
        <v>948</v>
      </c>
      <c r="G13" s="1443" t="s">
        <v>1642</v>
      </c>
      <c r="H13" s="1444" t="s">
        <v>1642</v>
      </c>
      <c r="I13" s="1445" t="s">
        <v>1642</v>
      </c>
      <c r="J13" s="1446" t="s">
        <v>1642</v>
      </c>
      <c r="K13" s="3159"/>
      <c r="L13" s="3159"/>
      <c r="M13" s="3159"/>
      <c r="N13" s="3159"/>
      <c r="O13" s="3159"/>
      <c r="P13" s="1397"/>
      <c r="Q13" s="2172"/>
      <c r="R13" s="2890">
        <v>12</v>
      </c>
      <c r="S13" s="2879"/>
      <c r="T13" s="2890" t="e">
        <f t="shared" si="0"/>
        <v>#DIV/0!</v>
      </c>
      <c r="U13" s="2879"/>
      <c r="V13" s="2890" t="e">
        <f t="shared" si="1"/>
        <v>#DIV/0!</v>
      </c>
      <c r="W13" s="3557"/>
      <c r="X13" s="2887"/>
      <c r="Y13" s="2886">
        <f>(-0.163*(Y12^2)-0.59*Y12+7617)*(10^(-4))/Y11</f>
        <v>0.21762857142857145</v>
      </c>
      <c r="Z13" s="2886">
        <f t="shared" ref="Z13:AJ13" si="5">(-0.163*(Z12^2)-0.59*Z12+7617)*(10^(-4))/Z11</f>
        <v>0.21762857142857145</v>
      </c>
      <c r="AA13" s="2886">
        <f t="shared" si="5"/>
        <v>0.21762857142857145</v>
      </c>
      <c r="AB13" s="2886">
        <f t="shared" si="5"/>
        <v>0.21762857142857145</v>
      </c>
      <c r="AC13" s="2886">
        <f t="shared" si="5"/>
        <v>0.21762857142857145</v>
      </c>
      <c r="AD13" s="2886">
        <f t="shared" si="5"/>
        <v>0.21762857142857145</v>
      </c>
      <c r="AE13" s="2886">
        <f t="shared" si="5"/>
        <v>0.21762857142857145</v>
      </c>
      <c r="AF13" s="2886">
        <f t="shared" si="5"/>
        <v>0.21762857142857145</v>
      </c>
      <c r="AG13" s="2886">
        <f t="shared" si="5"/>
        <v>0.21762857142857145</v>
      </c>
      <c r="AH13" s="2886">
        <f t="shared" si="5"/>
        <v>0.21762857142857145</v>
      </c>
      <c r="AI13" s="2886">
        <f t="shared" si="5"/>
        <v>0.21762857142857145</v>
      </c>
      <c r="AJ13" s="2886">
        <f t="shared" si="5"/>
        <v>0.21762857142857145</v>
      </c>
    </row>
    <row r="14" spans="1:39" ht="12.75" customHeight="1">
      <c r="A14" s="3549"/>
      <c r="B14" s="1447"/>
      <c r="C14" s="1448"/>
      <c r="D14" s="1449"/>
      <c r="E14" s="1449"/>
      <c r="F14" s="1450"/>
      <c r="G14" s="1451" t="s">
        <v>949</v>
      </c>
      <c r="H14" s="1452"/>
      <c r="I14" s="1453"/>
      <c r="J14" s="1454"/>
      <c r="K14" s="3145"/>
      <c r="L14" s="3145"/>
      <c r="M14" s="3145"/>
      <c r="N14" s="3145"/>
      <c r="O14" s="3145"/>
      <c r="P14" s="1397"/>
      <c r="Q14" s="2172"/>
      <c r="R14" s="2890">
        <v>13</v>
      </c>
      <c r="S14" s="2879"/>
      <c r="T14" s="2890" t="e">
        <f t="shared" si="0"/>
        <v>#DIV/0!</v>
      </c>
      <c r="U14" s="2879"/>
      <c r="V14" s="2890" t="e">
        <f t="shared" si="1"/>
        <v>#DIV/0!</v>
      </c>
      <c r="W14" s="2172"/>
      <c r="X14" s="2172"/>
      <c r="Y14" s="2172"/>
      <c r="Z14" s="2172"/>
      <c r="AA14" s="2172"/>
      <c r="AB14" s="2172"/>
      <c r="AC14" s="2173"/>
    </row>
    <row r="15" spans="1:39" ht="13.5" customHeight="1" thickBot="1">
      <c r="A15" s="3550"/>
      <c r="B15" s="3164" t="s">
        <v>1699</v>
      </c>
      <c r="C15" s="1049">
        <f>IF(C14="有",1.1,1)</f>
        <v>1</v>
      </c>
      <c r="D15" s="1049">
        <f>IF(D14="有",1.1,1)</f>
        <v>1</v>
      </c>
      <c r="E15" s="1049">
        <f>IF(E14="有",1.1,1)</f>
        <v>1</v>
      </c>
      <c r="F15" s="1049">
        <f>IF(F14="500米范围内",1.2,IF(F14="500-1000米",1.1,1))</f>
        <v>1</v>
      </c>
      <c r="G15" s="3156">
        <v>1</v>
      </c>
      <c r="H15" s="3156">
        <v>1</v>
      </c>
      <c r="I15" s="3156">
        <v>1</v>
      </c>
      <c r="J15" s="3157">
        <v>1</v>
      </c>
      <c r="K15" s="3160"/>
      <c r="L15" s="3160"/>
      <c r="M15" s="3160"/>
      <c r="N15" s="3160"/>
      <c r="O15" s="3160"/>
      <c r="P15" s="1397"/>
      <c r="Q15" s="2172"/>
      <c r="R15" s="2890">
        <v>14</v>
      </c>
      <c r="S15" s="2879"/>
      <c r="T15" s="2890" t="e">
        <f t="shared" si="0"/>
        <v>#DIV/0!</v>
      </c>
      <c r="U15" s="2879"/>
      <c r="V15" s="2890" t="e">
        <f t="shared" si="1"/>
        <v>#DIV/0!</v>
      </c>
      <c r="W15" s="2172"/>
      <c r="X15" s="2172"/>
      <c r="Y15" s="2172"/>
      <c r="Z15" s="2172"/>
      <c r="AA15" s="2172"/>
      <c r="AB15" s="2172"/>
      <c r="AC15" s="2173"/>
    </row>
    <row r="16" spans="1:39" ht="24.6" customHeight="1">
      <c r="A16" s="3547" t="s">
        <v>1837</v>
      </c>
      <c r="B16" s="1423" t="s">
        <v>950</v>
      </c>
      <c r="C16" s="1052" t="e">
        <f>ROUND(IF(F17="与级别开发程度一致",0,(G17-E17)/C17),0)</f>
        <v>#DIV/0!</v>
      </c>
      <c r="D16" s="3565" t="s">
        <v>954</v>
      </c>
      <c r="E16" s="3566"/>
      <c r="F16" s="3565" t="s">
        <v>951</v>
      </c>
      <c r="G16" s="3566"/>
      <c r="H16" s="1455"/>
      <c r="I16" s="1455"/>
      <c r="J16" s="1455"/>
      <c r="K16" s="1455"/>
      <c r="L16" s="1455"/>
      <c r="M16" s="1455"/>
      <c r="N16" s="1455"/>
      <c r="O16" s="3169"/>
      <c r="P16" s="1397"/>
      <c r="Q16" s="2175"/>
      <c r="R16" s="2890">
        <v>15</v>
      </c>
      <c r="S16" s="2879"/>
      <c r="T16" s="2890" t="e">
        <f t="shared" si="0"/>
        <v>#DIV/0!</v>
      </c>
      <c r="U16" s="2879"/>
      <c r="V16" s="2890" t="e">
        <f t="shared" si="1"/>
        <v>#DIV/0!</v>
      </c>
      <c r="W16" s="2175"/>
      <c r="X16" s="2175"/>
      <c r="Y16" s="2175"/>
      <c r="Z16" s="2175"/>
      <c r="AA16" s="2175"/>
      <c r="AB16" s="2175"/>
      <c r="AC16" s="2176"/>
    </row>
    <row r="17" spans="1:40" ht="13.8" thickBot="1">
      <c r="A17" s="3551"/>
      <c r="B17" s="3170" t="s">
        <v>953</v>
      </c>
      <c r="C17" s="3171">
        <f>SUMPRODUCT((修正!A2:A5=E2)*(修正!B1:M1=G2)*(修正!B2:M5))</f>
        <v>0</v>
      </c>
      <c r="D17" s="3172" t="str">
        <f>IF(OR(G2="八级",G2="九级",G2="十级",G2="十一级",G2="十二级"),"五通一平","七通一平")</f>
        <v>七通一平</v>
      </c>
      <c r="E17" s="3162">
        <f>SUMPRODUCT((修正!B1:M1=G2)*(修正!B15:M15))</f>
        <v>0</v>
      </c>
      <c r="F17" s="3163"/>
      <c r="G17" s="3162">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3">
        <f>SUMPRODUCT((七通一平=O16)*(修正!B1:M1=G2)*(修正!B6:M14))</f>
        <v>0</v>
      </c>
      <c r="P17" s="1397"/>
      <c r="Q17" s="2175"/>
      <c r="R17" s="2176"/>
      <c r="S17" s="2176"/>
      <c r="T17" s="2176"/>
      <c r="U17" s="2176"/>
      <c r="V17" s="2176"/>
      <c r="W17" s="2175"/>
      <c r="X17" s="2175"/>
      <c r="Y17" s="2175"/>
      <c r="Z17" s="2175"/>
      <c r="AA17" s="2175"/>
      <c r="AB17" s="2175"/>
      <c r="AC17" s="2176"/>
      <c r="AH17" s="1398"/>
      <c r="AI17" s="1398"/>
      <c r="AJ17" s="1401"/>
      <c r="AK17" s="1401"/>
      <c r="AL17" s="1401"/>
      <c r="AM17" s="1401"/>
    </row>
    <row r="18" spans="1:40" s="1417" customFormat="1" ht="15" thickBot="1">
      <c r="A18" s="2732" t="s">
        <v>1828</v>
      </c>
      <c r="B18" s="3165" t="s">
        <v>955</v>
      </c>
      <c r="C18" s="3166">
        <f>SUMIF(修正!C18:C39,E3,修正!E18:E39)</f>
        <v>0</v>
      </c>
      <c r="D18" s="3167"/>
      <c r="E18" s="3168"/>
      <c r="F18" s="3150"/>
      <c r="G18" s="3144"/>
      <c r="H18" s="3144"/>
      <c r="I18" s="3144"/>
      <c r="J18" s="3158"/>
      <c r="K18" s="3144"/>
      <c r="L18" s="3144"/>
      <c r="M18" s="3144"/>
      <c r="N18" s="3144"/>
      <c r="O18" s="3144"/>
      <c r="P18" s="1469"/>
      <c r="Q18" s="2177"/>
      <c r="R18" s="2177"/>
      <c r="S18" s="2177"/>
      <c r="T18" s="2177"/>
      <c r="U18" s="2177"/>
      <c r="V18" s="2177"/>
      <c r="W18" s="2176"/>
      <c r="X18" s="2176"/>
      <c r="Y18" s="2176"/>
      <c r="Z18" s="2176"/>
      <c r="AA18" s="2175"/>
      <c r="AB18" s="2175"/>
      <c r="AC18" s="2178"/>
      <c r="AD18" s="1460"/>
      <c r="AE18" s="1460"/>
      <c r="AF18" s="1460"/>
      <c r="AG18" s="1460"/>
      <c r="AH18" s="1399"/>
      <c r="AI18" s="1399"/>
      <c r="AJ18" s="1400"/>
      <c r="AK18" s="1400"/>
      <c r="AL18" s="1400"/>
    </row>
    <row r="19" spans="1:40" s="1417" customFormat="1" ht="29.4" thickBot="1">
      <c r="A19" s="1625" t="s">
        <v>1834</v>
      </c>
      <c r="B19" s="1458" t="s">
        <v>956</v>
      </c>
      <c r="C19" s="1053">
        <f>ROUND(IF(H19="按公示增长率计算",SUMPRODUCT((地价!A3:A29=YEAR(G19)&amp;"-"&amp;ROUNDUP(MONTH(G19)/3,0))*(地价!X2:AB2=E2)*(地价!X3:AB29)),IF(H19="地价指数",M20/M19,(1+I19)^O19)),4)</f>
        <v>0</v>
      </c>
      <c r="D19" s="1462" t="s">
        <v>957</v>
      </c>
      <c r="E19" s="1054">
        <v>41640</v>
      </c>
      <c r="F19" s="1462" t="s">
        <v>958</v>
      </c>
      <c r="G19" s="1055">
        <f>'数据-取费表'!B2</f>
        <v>43889</v>
      </c>
      <c r="H19" s="1463" t="s">
        <v>2984</v>
      </c>
      <c r="I19" s="2738" t="str">
        <f>IF(H19="季度增幅（自定义）",SUMIF(N21:N24,E2,O21:O24),"")</f>
        <v/>
      </c>
      <c r="J19" s="1459"/>
      <c r="K19" s="3144"/>
      <c r="L19" s="2989" t="s">
        <v>2837</v>
      </c>
      <c r="M19" s="2990">
        <f>ROUND(SUMIF(地价!B2:F2,E2,地价!B29:F29),0)</f>
        <v>0</v>
      </c>
      <c r="N19" s="2740" t="s">
        <v>1676</v>
      </c>
      <c r="O19" s="2739">
        <f>ROUNDDOWN(DATEDIF(E19,G19,"M")/3,0)</f>
        <v>24</v>
      </c>
      <c r="P19" s="1582"/>
      <c r="Q19" s="2878"/>
      <c r="R19" s="2178"/>
      <c r="S19" s="2178"/>
      <c r="T19" s="2178"/>
      <c r="U19" s="2178"/>
      <c r="V19" s="2178"/>
      <c r="W19" s="2178"/>
      <c r="X19" s="2178"/>
      <c r="Y19" s="1399"/>
      <c r="Z19" s="1399"/>
      <c r="AA19" s="1399"/>
      <c r="AB19" s="1399"/>
      <c r="AC19" s="1460"/>
      <c r="AD19" s="1461"/>
      <c r="AE19" s="1465"/>
      <c r="AF19" s="1400"/>
      <c r="AG19" s="1416"/>
      <c r="AH19" s="1416"/>
      <c r="AI19" s="1416"/>
    </row>
    <row r="20" spans="1:40" s="1417" customFormat="1" ht="29.4" thickBot="1">
      <c r="A20" s="2732" t="s">
        <v>1835</v>
      </c>
      <c r="B20" s="2733" t="s">
        <v>971</v>
      </c>
      <c r="C20" s="2734" t="e">
        <f>ROUND(POWER(1+G20,J20-I20)*(POWER(1+G20,I20)-1)/(POWER(1+G20,J20)-1),4)</f>
        <v>#DIV/0!</v>
      </c>
      <c r="D20" s="2735" t="s">
        <v>972</v>
      </c>
      <c r="E20" s="3042">
        <f ca="1">存贷款利率!I4/100</f>
        <v>4.3499999999999997E-2</v>
      </c>
      <c r="F20" s="2735" t="s">
        <v>973</v>
      </c>
      <c r="G20" s="2736">
        <f>SUMIF(M26:P26,E2,M28:P28)</f>
        <v>0</v>
      </c>
      <c r="H20" s="2735" t="s">
        <v>974</v>
      </c>
      <c r="I20" s="2731" t="e">
        <f>SUMIF('数据-取费表'!C6:C15,E2,'数据-取费表'!F6:F15)/COUNTIF('数据-取费表'!C6:C15,E2)</f>
        <v>#DIV/0!</v>
      </c>
      <c r="J20" s="2737">
        <f>IF(E2="住宅",70,IF(E2="商业",40,50))</f>
        <v>50</v>
      </c>
      <c r="K20" s="3146"/>
      <c r="L20" s="2991" t="s">
        <v>2838</v>
      </c>
      <c r="M20" s="3153">
        <f>ROUND(SUMPRODUCT((地价!A4:A29=YEAR(G19)&amp;"-"&amp;ROUNDUP(MONTH(G19)/3,0))*(地价!B2:F2=E2)*(地价!B4:F29)),0)</f>
        <v>0</v>
      </c>
      <c r="N20" s="2743" t="s">
        <v>2641</v>
      </c>
      <c r="O20" s="2741" t="s">
        <v>2640</v>
      </c>
      <c r="P20" s="2742" t="s">
        <v>2646</v>
      </c>
      <c r="Q20" s="2878"/>
      <c r="R20" s="2178"/>
      <c r="S20" s="2178"/>
      <c r="T20" s="2178"/>
      <c r="U20" s="2178"/>
      <c r="V20" s="2178"/>
      <c r="W20" s="2178"/>
      <c r="X20" s="2178"/>
      <c r="Y20" s="1460"/>
      <c r="Z20" s="1460"/>
      <c r="AA20" s="1460"/>
      <c r="AB20" s="1460"/>
      <c r="AC20" s="1460"/>
      <c r="AD20" s="1460"/>
    </row>
    <row r="21" spans="1:40" s="1417" customFormat="1" ht="14.4">
      <c r="A21" s="1627" t="s">
        <v>1836</v>
      </c>
      <c r="B21" s="1468" t="s">
        <v>2757</v>
      </c>
      <c r="C21" s="1154">
        <f>IF(B21="容积率修正",IF(G3&lt;=10,D22,J22),C23)</f>
        <v>0</v>
      </c>
      <c r="D21" s="1469"/>
      <c r="E21" s="1469"/>
      <c r="F21" s="1469"/>
      <c r="G21" s="1469"/>
      <c r="H21" s="1469"/>
      <c r="I21" s="1469"/>
      <c r="J21" s="1470"/>
      <c r="K21" s="3144"/>
      <c r="L21" s="1469"/>
      <c r="M21" s="1469"/>
      <c r="N21" s="1466" t="s">
        <v>975</v>
      </c>
      <c r="O21" s="1529"/>
      <c r="P21" s="2730">
        <f>SUMPRODUCT((地价!A3:A29=YEAR(G19)&amp;"-"&amp;ROUNDUP(MONTH(G19)/3,0))*(地价!AD2:AH2=N21)*(地价!AD3:AH29))</f>
        <v>1.35E-2</v>
      </c>
      <c r="Q21" s="2878"/>
      <c r="R21" s="2178"/>
      <c r="S21" s="2178"/>
      <c r="T21" s="2178"/>
      <c r="U21" s="2178"/>
      <c r="V21" s="2178"/>
      <c r="W21" s="2178"/>
      <c r="X21" s="2178"/>
      <c r="Y21" s="1399"/>
      <c r="Z21" s="1399"/>
      <c r="AA21" s="1399"/>
      <c r="AB21" s="1399"/>
      <c r="AC21" s="1460"/>
      <c r="AD21" s="1460"/>
    </row>
    <row r="22" spans="1:40" s="1417" customFormat="1" ht="14.4">
      <c r="A22" s="1628" t="s">
        <v>1869</v>
      </c>
      <c r="B22" s="1471" t="s">
        <v>976</v>
      </c>
      <c r="C22" s="1056" t="s">
        <v>1701</v>
      </c>
      <c r="D22" s="1056" t="b">
        <f>IF(E22=G22,F22,IF(G3&lt;=10,ROUND(F22+(H22-F22)*(G3-E22)/(G22-E22),4),"——"))</f>
        <v>0</v>
      </c>
      <c r="E22" s="1039">
        <f>ROUNDDOWN(G3,1)</f>
        <v>3.5</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3.5</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47"/>
      <c r="L22" s="1469"/>
      <c r="M22" s="1469"/>
      <c r="N22" s="1466" t="s">
        <v>978</v>
      </c>
      <c r="O22" s="1529"/>
      <c r="P22" s="2730">
        <f>SUMPRODUCT((地价!A3:A29=YEAR(G19)&amp;"-"&amp;ROUNDUP(MONTH(G19)/3,0))*(地价!AD2:AH2=N22)*(地价!AD3:AH29))</f>
        <v>1.35E-2</v>
      </c>
      <c r="Q22" s="2878"/>
      <c r="R22" s="2178"/>
      <c r="S22" s="2178"/>
      <c r="T22" s="2178"/>
      <c r="U22" s="2178"/>
      <c r="V22" s="2178"/>
      <c r="W22" s="2178"/>
      <c r="X22" s="2178"/>
      <c r="Y22" s="1460"/>
      <c r="Z22" s="1460"/>
      <c r="AA22" s="1460"/>
      <c r="AB22" s="1460"/>
      <c r="AC22" s="1460"/>
      <c r="AD22" s="1460"/>
    </row>
    <row r="23" spans="1:40" ht="15" thickBot="1">
      <c r="A23" s="1628" t="s">
        <v>1870</v>
      </c>
      <c r="B23" s="1471" t="s">
        <v>979</v>
      </c>
      <c r="C23" s="1057">
        <f>ROUND(IF(G3&gt;1,IF(I3&lt;7,SUMPRODUCT((B93:B98=I3)*(C92:N92=G2)*(C93:N98)),SUMIF(C92:N92,G2,C100:N100)),IF(I3&lt;7,SUMPRODUCT((B102:B107=I3)*(C92:N92=G2)*(C102:N107)),SUMIF(C92:N92,G2,C109:N109))),4)</f>
        <v>0</v>
      </c>
      <c r="D23" s="1517"/>
      <c r="E23" s="1517"/>
      <c r="F23" s="1518"/>
      <c r="G23" s="1519"/>
      <c r="H23" s="1520"/>
      <c r="I23" s="1521"/>
      <c r="J23" s="1521"/>
      <c r="K23" s="3148"/>
      <c r="L23" s="1397"/>
      <c r="M23" s="1397"/>
      <c r="N23" s="1466" t="s">
        <v>923</v>
      </c>
      <c r="O23" s="1529"/>
      <c r="P23" s="2730">
        <f>SUMPRODUCT((地价!A3:A29=YEAR(G19)&amp;"-"&amp;ROUNDUP(MONTH(G19)/3,0))*(地价!AD2:AH2=N23)*(地价!AD3:AH29))</f>
        <v>2.0799999999999999E-2</v>
      </c>
      <c r="Q23" s="2878"/>
      <c r="R23" s="2178"/>
      <c r="S23" s="2178"/>
      <c r="T23" s="2178"/>
      <c r="U23" s="2178"/>
      <c r="V23" s="2178"/>
      <c r="W23" s="2178"/>
      <c r="X23" s="2178"/>
      <c r="Y23" s="1399"/>
      <c r="Z23" s="1399"/>
      <c r="AA23" s="1399"/>
      <c r="AB23" s="1399"/>
      <c r="AC23" s="1399"/>
      <c r="AE23" s="1400"/>
      <c r="AF23" s="1400"/>
      <c r="AG23" s="1400"/>
      <c r="AH23" s="1400"/>
      <c r="AI23" s="1400"/>
      <c r="AJ23" s="1401"/>
      <c r="AK23" s="1401"/>
      <c r="AL23" s="1401"/>
      <c r="AM23" s="1401"/>
    </row>
    <row r="24" spans="1:40" s="1417" customFormat="1" ht="15" thickBot="1">
      <c r="A24" s="1626" t="s">
        <v>1871</v>
      </c>
      <c r="B24" s="1411" t="s">
        <v>980</v>
      </c>
      <c r="C24" s="1058">
        <f>SUMIF(A44:A87,E2,B44:B87)</f>
        <v>0</v>
      </c>
      <c r="D24" s="1522"/>
      <c r="E24" s="1523"/>
      <c r="F24" s="1523"/>
      <c r="G24" s="1523"/>
      <c r="H24" s="1523"/>
      <c r="I24" s="1523"/>
      <c r="J24" s="1523"/>
      <c r="K24" s="3148"/>
      <c r="L24" s="1469"/>
      <c r="M24" s="1469"/>
      <c r="N24" s="1466" t="s">
        <v>981</v>
      </c>
      <c r="O24" s="3152"/>
      <c r="P24" s="2730">
        <f>SUMPRODUCT((地价!A3:A29=YEAR(G19)&amp;"-"&amp;ROUNDUP(MONTH(G19)/3,0))*(地价!AD2:AH2=N24)*(地价!AD3:AH29))</f>
        <v>1.3299999999999999E-2</v>
      </c>
      <c r="Q24" s="2878"/>
      <c r="R24" s="2178"/>
      <c r="S24" s="2178"/>
      <c r="T24" s="2178"/>
      <c r="U24" s="2178"/>
      <c r="V24" s="2178"/>
      <c r="W24" s="2178"/>
      <c r="X24" s="2178"/>
      <c r="Y24" s="1460"/>
      <c r="Z24" s="1460"/>
      <c r="AA24" s="1460"/>
      <c r="AB24" s="1460"/>
      <c r="AC24" s="1460"/>
      <c r="AD24" s="1460"/>
    </row>
    <row r="25" spans="1:40" ht="15" thickBot="1">
      <c r="A25" s="1626" t="s">
        <v>1872</v>
      </c>
      <c r="B25" s="1473" t="s">
        <v>982</v>
      </c>
      <c r="C25" s="1474"/>
      <c r="D25" s="1426"/>
      <c r="E25" s="1426"/>
      <c r="F25" s="1475"/>
      <c r="G25" s="1426"/>
      <c r="H25" s="1426"/>
      <c r="I25" s="1426"/>
      <c r="J25" s="1427"/>
      <c r="K25" s="1452"/>
      <c r="L25" s="2178"/>
      <c r="M25" s="2178"/>
      <c r="N25" s="3154" t="s">
        <v>2644</v>
      </c>
      <c r="O25" s="3155"/>
      <c r="P25" s="2409">
        <f>SUMPRODUCT((地价!A3:A29=YEAR(G19)&amp;"-"&amp;ROUNDUP(MONTH(G19)/3,0))*(地价!AD2:AH2=N25)*(地价!AD3:AH29))</f>
        <v>1.9E-2</v>
      </c>
      <c r="Q25" s="2878"/>
      <c r="R25" s="2178"/>
      <c r="S25" s="2178"/>
      <c r="T25" s="2178"/>
      <c r="U25" s="2178"/>
      <c r="V25" s="2178"/>
      <c r="W25" s="2178"/>
      <c r="X25" s="2178"/>
      <c r="Y25" s="1399"/>
      <c r="Z25" s="1399"/>
      <c r="AA25" s="1399"/>
      <c r="AB25" s="1399"/>
      <c r="AC25" s="1399"/>
      <c r="AE25" s="1400"/>
      <c r="AF25" s="1400"/>
      <c r="AG25" s="1400"/>
      <c r="AH25" s="1400"/>
      <c r="AI25" s="1401"/>
      <c r="AJ25" s="1401"/>
      <c r="AK25" s="1401"/>
      <c r="AL25" s="1401"/>
      <c r="AM25" s="1401"/>
    </row>
    <row r="26" spans="1:40" ht="14.4">
      <c r="A26" s="1476"/>
      <c r="B26" s="1471" t="s">
        <v>986</v>
      </c>
      <c r="C26" s="1059" t="e">
        <f>E29+SUM(E33:E39)</f>
        <v>#DIV/0!</v>
      </c>
      <c r="D26" s="1477"/>
      <c r="E26" s="1452"/>
      <c r="F26" s="1478"/>
      <c r="G26" s="1452"/>
      <c r="H26" s="1452"/>
      <c r="I26" s="1452"/>
      <c r="J26" s="1479"/>
      <c r="K26" s="1452"/>
      <c r="L26" s="1583" t="s">
        <v>898</v>
      </c>
      <c r="M26" s="1424" t="s">
        <v>983</v>
      </c>
      <c r="N26" s="1424" t="s">
        <v>984</v>
      </c>
      <c r="O26" s="1424" t="s">
        <v>902</v>
      </c>
      <c r="P26" s="1464" t="s">
        <v>985</v>
      </c>
      <c r="Q26" s="2878"/>
      <c r="R26" s="2178"/>
      <c r="S26" s="2178"/>
      <c r="T26" s="2178"/>
      <c r="U26" s="2178"/>
      <c r="V26" s="2178"/>
      <c r="W26" s="2178"/>
      <c r="X26" s="2178"/>
      <c r="Y26" s="1460"/>
      <c r="Z26" s="1460"/>
      <c r="AA26" s="1460"/>
      <c r="AB26" s="1460"/>
      <c r="AC26" s="1399"/>
      <c r="AE26" s="1400"/>
      <c r="AF26" s="1400"/>
      <c r="AG26" s="1400"/>
      <c r="AH26" s="1400"/>
      <c r="AI26" s="1401"/>
      <c r="AJ26" s="1401"/>
      <c r="AK26" s="1401"/>
      <c r="AL26" s="1401"/>
      <c r="AM26" s="1401"/>
    </row>
    <row r="27" spans="1:40" ht="15" thickBot="1">
      <c r="A27" s="1476"/>
      <c r="B27" s="1480" t="s">
        <v>988</v>
      </c>
      <c r="C27" s="1060" t="e">
        <f>E30+SUM(I33:I39)</f>
        <v>#DIV/0!</v>
      </c>
      <c r="D27" s="1481"/>
      <c r="E27" s="1482"/>
      <c r="F27" s="1483"/>
      <c r="G27" s="1482"/>
      <c r="H27" s="1482"/>
      <c r="I27" s="1482"/>
      <c r="J27" s="1484"/>
      <c r="K27" s="1452"/>
      <c r="L27" s="1456" t="s">
        <v>987</v>
      </c>
      <c r="M27" s="1047">
        <v>0.25</v>
      </c>
      <c r="N27" s="1047">
        <v>0.2</v>
      </c>
      <c r="O27" s="1047">
        <v>0.15</v>
      </c>
      <c r="P27" s="1526">
        <v>0.1</v>
      </c>
      <c r="Q27" s="2178"/>
      <c r="R27" s="2878"/>
      <c r="S27" s="2878"/>
      <c r="T27" s="2878"/>
      <c r="U27" s="2878"/>
      <c r="V27" s="2878"/>
      <c r="W27" s="2178"/>
      <c r="X27" s="2178"/>
      <c r="Y27" s="2178"/>
      <c r="Z27" s="2178"/>
      <c r="AA27" s="2178"/>
      <c r="AB27" s="2178"/>
      <c r="AC27" s="2178"/>
    </row>
    <row r="28" spans="1:40" ht="15" thickBot="1">
      <c r="A28" s="1472"/>
      <c r="B28" s="1485" t="s">
        <v>989</v>
      </c>
      <c r="C28" s="1486" t="s">
        <v>990</v>
      </c>
      <c r="D28" s="1486" t="s">
        <v>991</v>
      </c>
      <c r="E28" s="1487" t="s">
        <v>992</v>
      </c>
      <c r="F28" s="1488"/>
      <c r="G28" s="1438"/>
      <c r="H28" s="1438"/>
      <c r="I28" s="1438"/>
      <c r="J28" s="1439"/>
      <c r="K28" s="1452"/>
      <c r="L28" s="1457" t="s">
        <v>973</v>
      </c>
      <c r="M28" s="1527">
        <f ca="1">ROUND($E$20*(1+M27),3)</f>
        <v>5.3999999999999999E-2</v>
      </c>
      <c r="N28" s="1527">
        <f ca="1">ROUND($E$20*(1+N27),3)</f>
        <v>5.1999999999999998E-2</v>
      </c>
      <c r="O28" s="1527">
        <f ca="1">ROUND($E$20*(1+O27),3)</f>
        <v>0.05</v>
      </c>
      <c r="P28" s="1528">
        <f ca="1">ROUND($E$20*(1+P27),3)</f>
        <v>4.8000000000000001E-2</v>
      </c>
      <c r="Q28" s="2178"/>
      <c r="R28" s="2878"/>
      <c r="S28" s="2878"/>
      <c r="T28" s="2878"/>
      <c r="U28" s="2878"/>
      <c r="V28" s="2878"/>
      <c r="W28" s="2178"/>
      <c r="X28" s="2178"/>
      <c r="Y28" s="2178"/>
      <c r="Z28" s="2178"/>
      <c r="AA28" s="2178"/>
      <c r="AB28" s="2178"/>
      <c r="AC28" s="2178"/>
      <c r="AD28" s="1460"/>
      <c r="AE28" s="1460"/>
      <c r="AF28" s="1460"/>
      <c r="AG28" s="1460"/>
    </row>
    <row r="29" spans="1:40" ht="24">
      <c r="A29" s="1489"/>
      <c r="B29" s="1490" t="s">
        <v>993</v>
      </c>
      <c r="C29" s="1059" t="e">
        <f>ROUND(C5*C18*C19*C20*C21*C24,0)</f>
        <v>#DIV/0!</v>
      </c>
      <c r="D29" s="1491"/>
      <c r="E29" s="1832" t="e">
        <f>ROUND(C29*D29/10000,0)</f>
        <v>#DIV/0!</v>
      </c>
      <c r="F29" s="1492" t="s">
        <v>1700</v>
      </c>
      <c r="G29" s="1493"/>
      <c r="H29" s="1493"/>
      <c r="I29" s="1493"/>
      <c r="J29" s="1494"/>
      <c r="K29" s="3149"/>
      <c r="L29" s="3149"/>
      <c r="M29" s="3149"/>
      <c r="N29" s="3149"/>
      <c r="O29" s="3149"/>
      <c r="P29" s="1397"/>
      <c r="Q29" s="2178"/>
      <c r="R29" s="2178"/>
      <c r="S29" s="2178"/>
      <c r="T29" s="2178"/>
      <c r="U29" s="2178"/>
      <c r="V29" s="2178"/>
      <c r="W29" s="2878"/>
      <c r="X29" s="2878"/>
      <c r="Y29" s="2878"/>
      <c r="Z29" s="2878"/>
      <c r="AA29" s="2878"/>
      <c r="AB29" s="2178"/>
      <c r="AC29" s="2178"/>
      <c r="AD29" s="2178"/>
      <c r="AE29" s="2178"/>
      <c r="AF29" s="2178"/>
      <c r="AG29" s="2178"/>
      <c r="AH29" s="2178"/>
      <c r="AJ29" s="1399"/>
      <c r="AK29" s="1399"/>
      <c r="AL29" s="1399"/>
      <c r="AM29" s="1398"/>
      <c r="AN29" s="1398"/>
    </row>
    <row r="30" spans="1:40" ht="24.6" thickBot="1">
      <c r="A30" s="1495"/>
      <c r="B30" s="1496" t="s">
        <v>994</v>
      </c>
      <c r="C30" s="1051" t="e">
        <f>ROUND(IF(E2="工业",C29*M39,C29*M38),0)</f>
        <v>#DIV/0!</v>
      </c>
      <c r="D30" s="1497"/>
      <c r="E30" s="1832" t="e">
        <f>ROUND(C30*D30/10000,0)</f>
        <v>#DIV/0!</v>
      </c>
      <c r="F30" s="1498" t="s">
        <v>995</v>
      </c>
      <c r="G30" s="1499"/>
      <c r="H30" s="1499"/>
      <c r="I30" s="1499"/>
      <c r="J30" s="1500"/>
      <c r="K30" s="1452"/>
      <c r="L30" s="1452"/>
      <c r="M30" s="1452"/>
      <c r="N30" s="1452"/>
      <c r="O30" s="1452"/>
      <c r="P30" s="1397"/>
      <c r="Q30" s="2172"/>
      <c r="R30" s="2172"/>
      <c r="S30" s="2172"/>
      <c r="T30" s="2172"/>
      <c r="U30" s="2172"/>
      <c r="V30" s="2172"/>
      <c r="W30" s="2173"/>
      <c r="X30" s="2173"/>
      <c r="Y30" s="2173"/>
      <c r="Z30" s="2173"/>
      <c r="AA30" s="2173"/>
      <c r="AB30" s="2172"/>
      <c r="AC30" s="2172"/>
      <c r="AD30" s="2172"/>
      <c r="AE30" s="2172"/>
      <c r="AF30" s="2172"/>
      <c r="AG30" s="2172"/>
      <c r="AH30" s="2172"/>
      <c r="AI30" s="1460"/>
      <c r="AJ30" s="1460"/>
      <c r="AK30" s="1460"/>
      <c r="AL30" s="1460"/>
      <c r="AM30" s="1398"/>
      <c r="AN30" s="1398"/>
    </row>
    <row r="31" spans="1:40">
      <c r="A31" s="1501"/>
      <c r="B31" s="1502" t="s">
        <v>996</v>
      </c>
      <c r="C31" s="1503" t="s">
        <v>997</v>
      </c>
      <c r="D31" s="1438"/>
      <c r="E31" s="1503"/>
      <c r="F31" s="1503"/>
      <c r="G31" s="1436" t="s">
        <v>995</v>
      </c>
      <c r="H31" s="1438"/>
      <c r="I31" s="1504"/>
      <c r="J31" s="1439"/>
      <c r="K31" s="1452"/>
      <c r="L31" s="1452"/>
      <c r="M31" s="1452"/>
      <c r="N31" s="1452"/>
      <c r="O31" s="1452"/>
      <c r="P31" s="1397"/>
      <c r="Q31" s="2172"/>
      <c r="R31" s="2172"/>
      <c r="S31" s="2172"/>
      <c r="T31" s="2172"/>
      <c r="U31" s="2172"/>
      <c r="V31" s="2172"/>
      <c r="W31" s="2173"/>
      <c r="X31" s="2173"/>
      <c r="Y31" s="2173"/>
      <c r="Z31" s="2173"/>
      <c r="AA31" s="2173"/>
      <c r="AB31" s="2172"/>
      <c r="AC31" s="2172"/>
      <c r="AD31" s="2172"/>
      <c r="AE31" s="2172"/>
      <c r="AF31" s="2172"/>
      <c r="AG31" s="2172"/>
      <c r="AH31" s="2172"/>
      <c r="AJ31" s="1399"/>
      <c r="AK31" s="1399"/>
      <c r="AL31" s="1399"/>
      <c r="AM31" s="1398"/>
      <c r="AN31" s="1398"/>
    </row>
    <row r="32" spans="1:40" ht="36">
      <c r="A32" s="1489"/>
      <c r="B32" s="1505"/>
      <c r="C32" s="1506" t="s">
        <v>990</v>
      </c>
      <c r="D32" s="1507" t="s">
        <v>991</v>
      </c>
      <c r="E32" s="1507" t="s">
        <v>992</v>
      </c>
      <c r="F32" s="1508" t="s">
        <v>998</v>
      </c>
      <c r="G32" s="1467" t="s">
        <v>990</v>
      </c>
      <c r="H32" s="1467" t="s">
        <v>991</v>
      </c>
      <c r="I32" s="1467" t="s">
        <v>992</v>
      </c>
      <c r="J32" s="1509"/>
      <c r="K32" s="3150"/>
      <c r="L32" s="3150"/>
      <c r="M32" s="3150"/>
      <c r="N32" s="3150"/>
      <c r="O32" s="3150"/>
      <c r="P32" s="1397"/>
      <c r="Q32" s="2172"/>
      <c r="R32" s="2172"/>
      <c r="S32" s="2172"/>
      <c r="T32" s="2172"/>
      <c r="U32" s="2172"/>
      <c r="V32" s="2172"/>
      <c r="W32" s="2173"/>
      <c r="X32" s="2173"/>
      <c r="Y32" s="2173"/>
      <c r="Z32" s="2173"/>
      <c r="AA32" s="2173"/>
      <c r="AB32" s="2172"/>
      <c r="AC32" s="2172"/>
      <c r="AD32" s="2172"/>
      <c r="AE32" s="2172"/>
      <c r="AF32" s="2172"/>
      <c r="AG32" s="2172"/>
      <c r="AH32" s="2172"/>
      <c r="AI32" s="1398"/>
      <c r="AJ32" s="1398"/>
      <c r="AK32" s="1398"/>
      <c r="AL32" s="1398"/>
      <c r="AM32" s="1398"/>
      <c r="AN32" s="1398"/>
    </row>
    <row r="33" spans="1:44" ht="13.2">
      <c r="A33" s="3554" t="s">
        <v>2954</v>
      </c>
      <c r="B33" s="1511" t="s">
        <v>999</v>
      </c>
      <c r="C33" s="1059" t="e">
        <f>ROUND(D5*C19*C20*C24*F33,0)</f>
        <v>#DIV/0!</v>
      </c>
      <c r="D33" s="1524"/>
      <c r="E33" s="1048" t="e">
        <f>ROUND(C33*D33/10000,0)</f>
        <v>#DIV/0!</v>
      </c>
      <c r="F33" s="1048">
        <f>SUMIF(修正!A45:A56,G2,修正!B45:B56)</f>
        <v>0</v>
      </c>
      <c r="G33" s="1048" t="e">
        <f t="shared" ref="G33" si="6">ROUND(IF(E2="工业",C33*$M$39,C33*$M$38),0)</f>
        <v>#DIV/0!</v>
      </c>
      <c r="H33" s="1048">
        <f>D33</f>
        <v>0</v>
      </c>
      <c r="I33" s="1048" t="e">
        <f>ROUND(G33*H33/10000,0)</f>
        <v>#DIV/0!</v>
      </c>
      <c r="J33" s="1512"/>
      <c r="K33" s="3151"/>
      <c r="L33" s="3151"/>
      <c r="M33" s="3151"/>
      <c r="N33" s="3151"/>
      <c r="O33" s="3151"/>
      <c r="P33" s="1397"/>
      <c r="Q33" s="2172"/>
      <c r="R33" s="2172"/>
      <c r="S33" s="2172"/>
      <c r="T33" s="2172"/>
      <c r="U33" s="2172"/>
      <c r="V33" s="2172"/>
      <c r="W33" s="2173"/>
      <c r="X33" s="2173"/>
      <c r="Y33" s="2173"/>
      <c r="Z33" s="2173"/>
      <c r="AA33" s="2173"/>
      <c r="AB33" s="2172"/>
      <c r="AC33" s="2172"/>
      <c r="AD33" s="2172"/>
      <c r="AE33" s="2172"/>
      <c r="AF33" s="2172"/>
      <c r="AG33" s="2172"/>
      <c r="AH33" s="2173"/>
      <c r="AJ33" s="1399"/>
      <c r="AK33" s="1399"/>
      <c r="AL33" s="1399"/>
      <c r="AM33" s="1399"/>
      <c r="AN33" s="1399"/>
      <c r="AO33" s="1400"/>
      <c r="AP33" s="1400"/>
      <c r="AQ33" s="1400"/>
      <c r="AR33" s="1400"/>
    </row>
    <row r="34" spans="1:44" ht="13.2">
      <c r="A34" s="3555"/>
      <c r="B34" s="1441" t="s">
        <v>1000</v>
      </c>
      <c r="C34" s="1059" t="e">
        <f>ROUND(D5*C19*C20*C24*F34,0)</f>
        <v>#DIV/0!</v>
      </c>
      <c r="D34" s="1524"/>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2"/>
      <c r="K34" s="3151"/>
      <c r="L34" s="3151"/>
      <c r="M34" s="3151"/>
      <c r="N34" s="3151"/>
      <c r="O34" s="3151"/>
      <c r="P34" s="1397"/>
      <c r="Q34" s="2172"/>
      <c r="R34" s="2172"/>
      <c r="S34" s="2172"/>
      <c r="T34" s="2172"/>
      <c r="U34" s="2172"/>
      <c r="V34" s="2172"/>
      <c r="W34" s="2173"/>
      <c r="X34" s="2173"/>
      <c r="Y34" s="2173"/>
      <c r="Z34" s="2173"/>
      <c r="AA34" s="2173"/>
      <c r="AB34" s="2172"/>
      <c r="AC34" s="2172"/>
      <c r="AD34" s="2172"/>
      <c r="AE34" s="2172"/>
      <c r="AF34" s="2172"/>
      <c r="AG34" s="2172"/>
      <c r="AH34" s="2173"/>
      <c r="AJ34" s="1399"/>
      <c r="AK34" s="1399"/>
      <c r="AL34" s="1399"/>
      <c r="AM34" s="1399"/>
      <c r="AN34" s="1399"/>
      <c r="AO34" s="1400"/>
      <c r="AP34" s="1400"/>
      <c r="AQ34" s="1400"/>
      <c r="AR34" s="1400"/>
    </row>
    <row r="35" spans="1:44" ht="13.2">
      <c r="A35" s="3555"/>
      <c r="B35" s="1441" t="s">
        <v>1001</v>
      </c>
      <c r="C35" s="1059" t="e">
        <f>ROUND(D5*C19*C20*C24*F35,0)</f>
        <v>#DIV/0!</v>
      </c>
      <c r="D35" s="1524"/>
      <c r="E35" s="1048" t="e">
        <f t="shared" si="7"/>
        <v>#DIV/0!</v>
      </c>
      <c r="F35" s="1048">
        <f>SUMIF(修正!A45:A56,G2,修正!D45:D56)</f>
        <v>0</v>
      </c>
      <c r="G35" s="1048" t="e">
        <f>ROUND(IF(E2="工业",C35*$M$39,C35*$M$38),0)</f>
        <v>#DIV/0!</v>
      </c>
      <c r="H35" s="1048">
        <f t="shared" si="8"/>
        <v>0</v>
      </c>
      <c r="I35" s="1048" t="e">
        <f t="shared" si="9"/>
        <v>#DIV/0!</v>
      </c>
      <c r="J35" s="1512"/>
      <c r="K35" s="3151"/>
      <c r="L35" s="3151"/>
      <c r="M35" s="3151"/>
      <c r="N35" s="3151"/>
      <c r="O35" s="3151"/>
      <c r="P35" s="1397"/>
      <c r="Q35" s="2172"/>
      <c r="R35" s="2172"/>
      <c r="S35" s="2172"/>
      <c r="T35" s="2172"/>
      <c r="U35" s="2172"/>
      <c r="V35" s="2172"/>
      <c r="W35" s="2173"/>
      <c r="X35" s="2173"/>
      <c r="Y35" s="2173"/>
      <c r="Z35" s="2173"/>
      <c r="AA35" s="2173"/>
      <c r="AB35" s="2172"/>
      <c r="AC35" s="2172"/>
      <c r="AD35" s="2172"/>
      <c r="AE35" s="2172"/>
      <c r="AF35" s="2172"/>
      <c r="AG35" s="2172"/>
      <c r="AH35" s="2173"/>
      <c r="AJ35" s="1399"/>
      <c r="AK35" s="1399"/>
      <c r="AL35" s="1399"/>
      <c r="AM35" s="1399"/>
      <c r="AN35" s="1399"/>
      <c r="AO35" s="1400"/>
      <c r="AP35" s="1400"/>
      <c r="AQ35" s="1400"/>
      <c r="AR35" s="1400"/>
    </row>
    <row r="36" spans="1:44" ht="13.8" thickBot="1">
      <c r="A36" s="3556"/>
      <c r="B36" s="1441" t="s">
        <v>1002</v>
      </c>
      <c r="C36" s="1059" t="e">
        <f>ROUND(D5*C19*C20*C24*F36,0)</f>
        <v>#DIV/0!</v>
      </c>
      <c r="D36" s="1524"/>
      <c r="E36" s="1048" t="e">
        <f t="shared" si="7"/>
        <v>#DIV/0!</v>
      </c>
      <c r="F36" s="1048">
        <f>SUMIF(修正!A45:A56,G2,修正!E45:E56)</f>
        <v>0</v>
      </c>
      <c r="G36" s="1048" t="e">
        <f>ROUND(IF(E2="工业",C36*$M$39,C36*$M$38),0)</f>
        <v>#DIV/0!</v>
      </c>
      <c r="H36" s="1048">
        <f t="shared" si="8"/>
        <v>0</v>
      </c>
      <c r="I36" s="1048" t="e">
        <f t="shared" si="9"/>
        <v>#DIV/0!</v>
      </c>
      <c r="J36" s="1512"/>
      <c r="K36" s="3151"/>
      <c r="L36" s="3151"/>
      <c r="M36" s="3151"/>
      <c r="N36" s="3151"/>
      <c r="O36" s="3151"/>
      <c r="P36" s="1397"/>
      <c r="Q36" s="2172"/>
      <c r="R36" s="2172"/>
      <c r="S36" s="2172"/>
      <c r="T36" s="2172"/>
      <c r="U36" s="2172"/>
      <c r="V36" s="2172"/>
      <c r="W36" s="2173"/>
      <c r="X36" s="2173"/>
      <c r="Y36" s="2173"/>
      <c r="Z36" s="2173"/>
      <c r="AA36" s="2173"/>
      <c r="AB36" s="2172"/>
      <c r="AC36" s="2172"/>
      <c r="AD36" s="2172"/>
      <c r="AE36" s="2172"/>
      <c r="AF36" s="2172"/>
      <c r="AG36" s="2172"/>
      <c r="AH36" s="2173"/>
      <c r="AJ36" s="1399"/>
      <c r="AK36" s="1399"/>
      <c r="AL36" s="1399"/>
      <c r="AM36" s="1399"/>
      <c r="AN36" s="1399"/>
      <c r="AO36" s="1400"/>
      <c r="AP36" s="1400"/>
      <c r="AQ36" s="1400"/>
      <c r="AR36" s="1400"/>
    </row>
    <row r="37" spans="1:44" ht="13.2">
      <c r="A37" s="1510"/>
      <c r="B37" s="1441" t="s">
        <v>1003</v>
      </c>
      <c r="C37" s="1048" t="e">
        <f>ROUND(D5*C19*C20*C24*F37,0)</f>
        <v>#DIV/0!</v>
      </c>
      <c r="D37" s="1524"/>
      <c r="E37" s="1048" t="e">
        <f t="shared" si="7"/>
        <v>#DIV/0!</v>
      </c>
      <c r="F37" s="1059">
        <f>SUMIF(修正!A45:A56,G2,修正!F45:F56)</f>
        <v>0</v>
      </c>
      <c r="G37" s="1048" t="e">
        <f>ROUND(IF(E2="工业",C37*$M$39,C37*$M$38),0)</f>
        <v>#DIV/0!</v>
      </c>
      <c r="H37" s="1048">
        <f t="shared" si="8"/>
        <v>0</v>
      </c>
      <c r="I37" s="1048" t="e">
        <f t="shared" si="9"/>
        <v>#DIV/0!</v>
      </c>
      <c r="J37" s="1512"/>
      <c r="K37" s="1397"/>
      <c r="L37" s="1530" t="s">
        <v>1702</v>
      </c>
      <c r="M37" s="1531"/>
      <c r="N37" s="2172"/>
      <c r="O37" s="2172"/>
      <c r="P37" s="2172"/>
      <c r="Q37" s="2172"/>
      <c r="R37" s="2173"/>
      <c r="S37" s="2173"/>
      <c r="T37" s="2173"/>
      <c r="U37" s="2173"/>
      <c r="V37" s="2173"/>
      <c r="W37" s="2172"/>
      <c r="X37" s="2172"/>
      <c r="Y37" s="2172"/>
      <c r="Z37" s="2172"/>
      <c r="AA37" s="2172"/>
      <c r="AB37" s="2172"/>
      <c r="AC37" s="2173"/>
    </row>
    <row r="38" spans="1:44" ht="13.2">
      <c r="A38" s="1510"/>
      <c r="B38" s="1441" t="s">
        <v>1004</v>
      </c>
      <c r="C38" s="1048" t="e">
        <f>ROUND(D5*C19*C41*C24*F38,0)</f>
        <v>#DIV/0!</v>
      </c>
      <c r="D38" s="1524"/>
      <c r="E38" s="1048" t="e">
        <f t="shared" si="7"/>
        <v>#DIV/0!</v>
      </c>
      <c r="F38" s="1059">
        <f>SUMIF(修正!A45:A56,G2,修正!G45:G56)</f>
        <v>0</v>
      </c>
      <c r="G38" s="1048" t="e">
        <f>ROUND(IF(E2="工业",C38*$M$39,C38*$M$38),0)</f>
        <v>#DIV/0!</v>
      </c>
      <c r="H38" s="1048">
        <f t="shared" si="8"/>
        <v>0</v>
      </c>
      <c r="I38" s="1048" t="e">
        <f t="shared" si="9"/>
        <v>#DIV/0!</v>
      </c>
      <c r="J38" s="1512"/>
      <c r="K38" s="1397"/>
      <c r="L38" s="1532" t="s">
        <v>1704</v>
      </c>
      <c r="M38" s="1533">
        <v>0.25</v>
      </c>
      <c r="N38" s="2172"/>
      <c r="O38" s="2172"/>
      <c r="P38" s="2172"/>
      <c r="Q38" s="2172"/>
      <c r="R38" s="2173"/>
      <c r="S38" s="2173"/>
      <c r="T38" s="2173"/>
      <c r="U38" s="2173"/>
      <c r="V38" s="2173"/>
      <c r="W38" s="2172"/>
      <c r="X38" s="2172"/>
      <c r="Y38" s="2172"/>
      <c r="Z38" s="2172"/>
      <c r="AA38" s="2172"/>
      <c r="AB38" s="2172"/>
      <c r="AC38" s="2173"/>
    </row>
    <row r="39" spans="1:44" ht="13.8" thickBot="1">
      <c r="A39" s="1495"/>
      <c r="B39" s="1513" t="s">
        <v>1005</v>
      </c>
      <c r="C39" s="1051" t="e">
        <f>ROUND(D5*C19*C41*C24*F39,0)</f>
        <v>#DIV/0!</v>
      </c>
      <c r="D39" s="1525"/>
      <c r="E39" s="1051" t="e">
        <f t="shared" si="7"/>
        <v>#DIV/0!</v>
      </c>
      <c r="F39" s="1061">
        <f>SUMIF(修正!A45:A56,G2,修正!H45:H56)</f>
        <v>0</v>
      </c>
      <c r="G39" s="1051" t="e">
        <f>ROUND(IF(E2="工业",C39*$M$39,C39*$M$38),0)</f>
        <v>#DIV/0!</v>
      </c>
      <c r="H39" s="1051">
        <f t="shared" si="8"/>
        <v>0</v>
      </c>
      <c r="I39" s="1051" t="e">
        <f t="shared" si="9"/>
        <v>#DIV/0!</v>
      </c>
      <c r="J39" s="1514"/>
      <c r="K39" s="1397"/>
      <c r="L39" s="1534" t="s">
        <v>1703</v>
      </c>
      <c r="M39" s="1535">
        <v>0.15</v>
      </c>
      <c r="N39" s="2172"/>
      <c r="O39" s="2172"/>
      <c r="P39" s="2172"/>
      <c r="Q39" s="2172"/>
      <c r="R39" s="2173"/>
      <c r="S39" s="2173"/>
      <c r="T39" s="2173"/>
      <c r="U39" s="2173"/>
      <c r="V39" s="2173"/>
      <c r="W39" s="2172"/>
      <c r="X39" s="2172"/>
      <c r="Y39" s="2172"/>
      <c r="Z39" s="2172"/>
      <c r="AA39" s="2172"/>
      <c r="AB39" s="2172"/>
      <c r="AC39" s="2173"/>
    </row>
    <row r="40" spans="1:44" s="1398"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9"/>
      <c r="AE40" s="1399"/>
      <c r="AF40" s="1399"/>
      <c r="AG40" s="1399"/>
      <c r="AH40" s="1399"/>
      <c r="AI40" s="1399"/>
      <c r="AJ40" s="1399"/>
      <c r="AK40" s="1399"/>
      <c r="AL40" s="1399"/>
      <c r="AM40" s="1399"/>
    </row>
    <row r="41" spans="1:44" s="1398" customFormat="1" ht="24">
      <c r="A41" s="1399"/>
      <c r="B41" s="3142" t="s">
        <v>2978</v>
      </c>
      <c r="C41" s="839" t="e">
        <f>ROUND(POWER(1+E41,H41-G41)*(POWER(1+E41,G41)-1)/(POWER(1+E41,H41)-1),4)</f>
        <v>#DIV/0!</v>
      </c>
      <c r="D41" s="378" t="s">
        <v>2976</v>
      </c>
      <c r="E41" s="3141">
        <f>G20</f>
        <v>0</v>
      </c>
      <c r="F41" s="378" t="s">
        <v>2977</v>
      </c>
      <c r="G41" s="396"/>
      <c r="H41" s="378">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9"/>
      <c r="AE41" s="1399"/>
      <c r="AF41" s="1399"/>
      <c r="AG41" s="1399"/>
      <c r="AH41" s="1399"/>
      <c r="AI41" s="1399"/>
      <c r="AJ41" s="1399"/>
      <c r="AK41" s="1399"/>
      <c r="AL41" s="1399"/>
      <c r="AM41" s="1399"/>
    </row>
    <row r="42" spans="1:44" s="1398" customFormat="1">
      <c r="A42" s="1399"/>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9"/>
      <c r="AE42" s="1399"/>
      <c r="AF42" s="1399"/>
      <c r="AG42" s="1399"/>
      <c r="AH42" s="1399"/>
      <c r="AI42" s="1399"/>
      <c r="AJ42" s="1399"/>
      <c r="AK42" s="1399"/>
      <c r="AL42" s="1399"/>
      <c r="AM42" s="1399"/>
    </row>
    <row r="43" spans="1:44" s="1398" customFormat="1">
      <c r="A43" s="1399"/>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9"/>
      <c r="AE43" s="1399"/>
      <c r="AF43" s="1399"/>
      <c r="AG43" s="1399"/>
      <c r="AH43" s="1399"/>
      <c r="AI43" s="1399"/>
      <c r="AJ43" s="1399"/>
      <c r="AK43" s="1399"/>
      <c r="AL43" s="1399"/>
      <c r="AM43" s="1399"/>
    </row>
    <row r="44" spans="1:44" s="1398" customFormat="1" ht="15" thickBot="1">
      <c r="A44" s="2381" t="s">
        <v>1006</v>
      </c>
      <c r="B44" s="2382"/>
      <c r="C44" s="2383"/>
      <c r="D44" s="2384"/>
      <c r="E44" s="2384"/>
      <c r="F44" s="2385"/>
      <c r="G44" s="1062"/>
      <c r="H44" s="2385"/>
      <c r="I44" s="1062"/>
      <c r="J44" s="1062"/>
      <c r="K44" s="1062"/>
      <c r="L44" s="1062"/>
      <c r="M44" s="1062"/>
      <c r="O44" s="2179"/>
      <c r="P44" s="2179"/>
      <c r="Q44" s="2179"/>
      <c r="R44" s="2180"/>
      <c r="S44" s="2180"/>
      <c r="T44" s="2180"/>
      <c r="U44" s="2180"/>
      <c r="V44" s="2180"/>
      <c r="W44" s="2179"/>
      <c r="X44" s="2179"/>
      <c r="Y44" s="2179"/>
      <c r="Z44" s="2179"/>
      <c r="AA44" s="2179"/>
      <c r="AB44" s="2179"/>
      <c r="AC44" s="2180"/>
      <c r="AD44" s="1399"/>
      <c r="AE44" s="1399"/>
      <c r="AF44" s="1399"/>
      <c r="AG44" s="1399"/>
      <c r="AH44" s="1399"/>
      <c r="AI44" s="1399"/>
      <c r="AJ44" s="1399"/>
      <c r="AK44" s="1399"/>
      <c r="AL44" s="1399"/>
      <c r="AM44" s="1399"/>
    </row>
    <row r="45" spans="1:44" s="1398" customFormat="1" ht="14.4">
      <c r="A45" s="2386" t="s">
        <v>1007</v>
      </c>
      <c r="B45" s="2387">
        <f>1+E47</f>
        <v>1</v>
      </c>
      <c r="C45" s="2388"/>
      <c r="D45" s="2389"/>
      <c r="E45" s="2390"/>
      <c r="F45" s="2391"/>
      <c r="G45" s="2385"/>
      <c r="H45" s="2385"/>
      <c r="I45" s="1062"/>
      <c r="J45" s="1062"/>
      <c r="K45" s="1062"/>
      <c r="L45" s="1062"/>
      <c r="M45" s="1062"/>
      <c r="O45" s="2179"/>
      <c r="P45" s="2179"/>
      <c r="Q45" s="2179"/>
      <c r="R45" s="2180"/>
      <c r="S45" s="2180"/>
      <c r="T45" s="2180"/>
      <c r="U45" s="2180"/>
      <c r="V45" s="2180"/>
      <c r="W45" s="2179"/>
      <c r="X45" s="2179"/>
      <c r="Y45" s="2179"/>
      <c r="Z45" s="2179"/>
      <c r="AA45" s="2179"/>
      <c r="AB45" s="2179"/>
      <c r="AC45" s="2180"/>
      <c r="AD45" s="1399"/>
      <c r="AE45" s="1399"/>
      <c r="AF45" s="1399"/>
      <c r="AG45" s="1399"/>
      <c r="AH45" s="1399"/>
      <c r="AI45" s="1399"/>
      <c r="AJ45" s="1399"/>
      <c r="AK45" s="1399"/>
      <c r="AL45" s="1399"/>
      <c r="AM45" s="1399"/>
    </row>
    <row r="46" spans="1:44" s="1398" customFormat="1" ht="24">
      <c r="A46" s="1063" t="s">
        <v>1008</v>
      </c>
      <c r="B46" s="2370" t="s">
        <v>1009</v>
      </c>
      <c r="C46" s="2392" t="s">
        <v>1010</v>
      </c>
      <c r="D46" s="2393" t="s">
        <v>1011</v>
      </c>
      <c r="E46" s="2394" t="s">
        <v>1013</v>
      </c>
      <c r="F46" s="2395" t="s">
        <v>2247</v>
      </c>
      <c r="G46" s="2393" t="s">
        <v>1014</v>
      </c>
      <c r="H46" s="2376" t="s">
        <v>2415</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9"/>
      <c r="AF46" s="1399"/>
      <c r="AG46" s="1399"/>
      <c r="AH46" s="1399"/>
      <c r="AI46" s="1399"/>
      <c r="AJ46" s="1399"/>
      <c r="AK46" s="1399"/>
      <c r="AL46" s="1399"/>
      <c r="AM46" s="1399"/>
      <c r="AN46" s="1399"/>
    </row>
    <row r="47" spans="1:44" s="1398" customFormat="1" ht="24">
      <c r="A47" s="1063" t="s">
        <v>1020</v>
      </c>
      <c r="B47" s="2373" t="str">
        <f>估价对象房地状况!C16</f>
        <v>较好</v>
      </c>
      <c r="C47" s="1050"/>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9"/>
      <c r="AF47" s="1399"/>
      <c r="AG47" s="1399"/>
      <c r="AH47" s="1399"/>
      <c r="AI47" s="1399"/>
      <c r="AJ47" s="1399"/>
      <c r="AK47" s="1399"/>
      <c r="AL47" s="1399"/>
      <c r="AM47" s="1399"/>
      <c r="AN47" s="1399"/>
    </row>
    <row r="48" spans="1:44" s="1398" customFormat="1" ht="24">
      <c r="A48" s="1063" t="s">
        <v>1021</v>
      </c>
      <c r="B48" s="2370" t="str">
        <f>估价对象房地状况!C18</f>
        <v>较好</v>
      </c>
      <c r="C48" s="1050"/>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9"/>
      <c r="AF48" s="1399"/>
      <c r="AG48" s="1399"/>
      <c r="AH48" s="1399"/>
      <c r="AI48" s="1399"/>
      <c r="AJ48" s="1399"/>
      <c r="AK48" s="1399"/>
      <c r="AL48" s="1399"/>
      <c r="AM48" s="1399"/>
      <c r="AN48" s="1399"/>
    </row>
    <row r="49" spans="1:40" s="1398" customFormat="1" ht="24">
      <c r="A49" s="1063" t="s">
        <v>1022</v>
      </c>
      <c r="B49" s="2370">
        <f>估价对象房地状况!C19</f>
        <v>0</v>
      </c>
      <c r="C49" s="1050"/>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9"/>
      <c r="AF49" s="1399"/>
      <c r="AG49" s="1399"/>
      <c r="AH49" s="1399"/>
      <c r="AI49" s="1399"/>
      <c r="AJ49" s="1399"/>
      <c r="AK49" s="1399"/>
      <c r="AL49" s="1399"/>
      <c r="AM49" s="1399"/>
      <c r="AN49" s="1399"/>
    </row>
    <row r="50" spans="1:40" s="1398" customFormat="1" ht="48">
      <c r="A50" s="1063" t="s">
        <v>1023</v>
      </c>
      <c r="B50" s="3044" t="s">
        <v>2931</v>
      </c>
      <c r="C50" s="1050"/>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9"/>
      <c r="AF50" s="1399"/>
      <c r="AG50" s="1399"/>
      <c r="AH50" s="1399"/>
      <c r="AI50" s="1399"/>
      <c r="AJ50" s="1399"/>
      <c r="AK50" s="1399"/>
      <c r="AL50" s="1399"/>
      <c r="AM50" s="1399"/>
      <c r="AN50" s="1399"/>
    </row>
    <row r="51" spans="1:40" s="1398" customFormat="1" ht="24">
      <c r="A51" s="1063" t="s">
        <v>1024</v>
      </c>
      <c r="B51" s="2370" t="str">
        <f>估价对象房地状况!C24</f>
        <v>次干道</v>
      </c>
      <c r="C51" s="1050"/>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9"/>
      <c r="AF51" s="1399"/>
      <c r="AG51" s="1399"/>
      <c r="AH51" s="1399"/>
      <c r="AI51" s="1399"/>
      <c r="AJ51" s="1399"/>
      <c r="AK51" s="1399"/>
      <c r="AL51" s="1399"/>
      <c r="AM51" s="1399"/>
      <c r="AN51" s="1399"/>
    </row>
    <row r="52" spans="1:40" s="1398" customFormat="1" ht="36">
      <c r="A52" s="1063" t="s">
        <v>1025</v>
      </c>
      <c r="B52" s="3043" t="s">
        <v>2930</v>
      </c>
      <c r="C52" s="1050"/>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9"/>
      <c r="AF52" s="1399"/>
      <c r="AG52" s="1399"/>
      <c r="AH52" s="1399"/>
      <c r="AI52" s="1399"/>
      <c r="AJ52" s="1399"/>
      <c r="AK52" s="1399"/>
      <c r="AL52" s="1399"/>
      <c r="AM52" s="1399"/>
      <c r="AN52" s="1399"/>
    </row>
    <row r="53" spans="1:40" s="1398" customFormat="1" ht="24">
      <c r="A53" s="2402" t="s">
        <v>1026</v>
      </c>
      <c r="B53" s="2371" t="str">
        <f>估价对象房地状况!C21</f>
        <v>一般</v>
      </c>
      <c r="C53" s="1050"/>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9"/>
      <c r="AF53" s="1399"/>
      <c r="AG53" s="1399"/>
      <c r="AH53" s="1399"/>
      <c r="AI53" s="1399"/>
      <c r="AJ53" s="1399"/>
      <c r="AK53" s="1399"/>
      <c r="AL53" s="1399"/>
      <c r="AM53" s="1399"/>
      <c r="AN53" s="1399"/>
    </row>
    <row r="54" spans="1:40" s="1398" customFormat="1" ht="24">
      <c r="A54" s="2402" t="s">
        <v>1027</v>
      </c>
      <c r="B54" s="2370" t="str">
        <f>估价对象房地状况!C22</f>
        <v>六通</v>
      </c>
      <c r="C54" s="1050"/>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9"/>
      <c r="AF54" s="1399"/>
      <c r="AG54" s="1399"/>
      <c r="AH54" s="1399"/>
      <c r="AI54" s="1399"/>
      <c r="AJ54" s="1399"/>
      <c r="AK54" s="1399"/>
      <c r="AL54" s="1399"/>
      <c r="AM54" s="1399"/>
      <c r="AN54" s="1399"/>
    </row>
    <row r="55" spans="1:40" s="1398" customFormat="1" ht="36.6" thickBot="1">
      <c r="A55" s="2403" t="s">
        <v>1028</v>
      </c>
      <c r="B55" s="2374" t="str">
        <f>估价对象房地状况!C20</f>
        <v>一般</v>
      </c>
      <c r="C55" s="1050"/>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9"/>
      <c r="AF55" s="1399"/>
      <c r="AG55" s="1399"/>
      <c r="AH55" s="1399"/>
      <c r="AI55" s="1399"/>
      <c r="AJ55" s="1399"/>
      <c r="AK55" s="1399"/>
      <c r="AL55" s="1399"/>
      <c r="AM55" s="1399"/>
      <c r="AN55" s="1399"/>
    </row>
    <row r="56" spans="1:40" s="1398" customFormat="1" ht="14.4">
      <c r="A56" s="2386" t="s">
        <v>1029</v>
      </c>
      <c r="B56" s="2387">
        <f>1+E58</f>
        <v>1</v>
      </c>
      <c r="C56" s="2406"/>
      <c r="D56" s="2389"/>
      <c r="E56" s="2390"/>
      <c r="F56" s="2391"/>
      <c r="G56" s="2385"/>
      <c r="H56" s="2385"/>
      <c r="I56" s="2385"/>
      <c r="J56" s="1062"/>
      <c r="K56" s="1062"/>
      <c r="L56" s="1062"/>
      <c r="M56" s="1062"/>
      <c r="N56" s="1062"/>
      <c r="P56" s="2179"/>
      <c r="Q56" s="2179"/>
      <c r="R56" s="2180"/>
      <c r="S56" s="2180"/>
      <c r="T56" s="2180"/>
      <c r="U56" s="2180"/>
      <c r="V56" s="2180"/>
      <c r="W56" s="2179"/>
      <c r="X56" s="2179"/>
      <c r="Y56" s="2179"/>
      <c r="Z56" s="2179"/>
      <c r="AA56" s="2179"/>
      <c r="AB56" s="2179"/>
      <c r="AC56" s="2179"/>
      <c r="AD56" s="2180"/>
      <c r="AE56" s="1399"/>
      <c r="AF56" s="1399"/>
      <c r="AG56" s="1399"/>
      <c r="AH56" s="1399"/>
      <c r="AI56" s="1399"/>
      <c r="AJ56" s="1399"/>
      <c r="AK56" s="1399"/>
      <c r="AL56" s="1399"/>
      <c r="AM56" s="1399"/>
      <c r="AN56" s="1399"/>
    </row>
    <row r="57" spans="1:40" s="1398" customFormat="1" ht="24">
      <c r="A57" s="1063" t="s">
        <v>1008</v>
      </c>
      <c r="B57" s="2370"/>
      <c r="C57" s="2392" t="s">
        <v>1010</v>
      </c>
      <c r="D57" s="2393" t="s">
        <v>1011</v>
      </c>
      <c r="E57" s="2394" t="s">
        <v>1013</v>
      </c>
      <c r="F57" s="2395" t="s">
        <v>2248</v>
      </c>
      <c r="G57" s="2393" t="s">
        <v>1014</v>
      </c>
      <c r="H57" s="2376" t="s">
        <v>2415</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9"/>
      <c r="AF57" s="1399"/>
      <c r="AG57" s="1399"/>
      <c r="AH57" s="1399"/>
      <c r="AI57" s="1399"/>
      <c r="AJ57" s="1399"/>
      <c r="AK57" s="1399"/>
      <c r="AL57" s="1399"/>
      <c r="AM57" s="1399"/>
      <c r="AN57" s="1399"/>
    </row>
    <row r="58" spans="1:40" s="1398" customFormat="1" ht="24">
      <c r="A58" s="1063" t="s">
        <v>1030</v>
      </c>
      <c r="B58" s="2373">
        <f>估价对象房地状况!C17</f>
        <v>0</v>
      </c>
      <c r="C58" s="1050"/>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9"/>
      <c r="AF58" s="1399"/>
      <c r="AG58" s="1399"/>
      <c r="AH58" s="1399"/>
      <c r="AI58" s="1399"/>
      <c r="AJ58" s="1399"/>
      <c r="AK58" s="1399"/>
      <c r="AL58" s="1399"/>
      <c r="AM58" s="1399"/>
      <c r="AN58" s="1399"/>
    </row>
    <row r="59" spans="1:40" s="1398" customFormat="1" ht="24">
      <c r="A59" s="1063" t="s">
        <v>1021</v>
      </c>
      <c r="B59" s="2370" t="str">
        <f>估价对象房地状况!C18</f>
        <v>较好</v>
      </c>
      <c r="C59" s="1050"/>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9"/>
      <c r="AF59" s="1399"/>
      <c r="AG59" s="1399"/>
      <c r="AH59" s="1399"/>
      <c r="AI59" s="1399"/>
      <c r="AJ59" s="1399"/>
      <c r="AK59" s="1399"/>
      <c r="AL59" s="1399"/>
      <c r="AM59" s="1399"/>
      <c r="AN59" s="1399"/>
    </row>
    <row r="60" spans="1:40" s="1398" customFormat="1" ht="24">
      <c r="A60" s="1063" t="s">
        <v>1022</v>
      </c>
      <c r="B60" s="2370">
        <f>估价对象房地状况!C19</f>
        <v>0</v>
      </c>
      <c r="C60" s="1050"/>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9"/>
      <c r="AF60" s="1399"/>
      <c r="AG60" s="1399"/>
      <c r="AH60" s="1399"/>
      <c r="AI60" s="1399"/>
      <c r="AJ60" s="1399"/>
      <c r="AK60" s="1399"/>
      <c r="AL60" s="1399"/>
      <c r="AM60" s="1399"/>
      <c r="AN60" s="1399"/>
    </row>
    <row r="61" spans="1:40" s="1398" customFormat="1" ht="48">
      <c r="A61" s="1063" t="s">
        <v>1023</v>
      </c>
      <c r="B61" s="3044" t="s">
        <v>2932</v>
      </c>
      <c r="C61" s="1050"/>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9"/>
      <c r="AF61" s="1399"/>
      <c r="AG61" s="1399"/>
      <c r="AH61" s="1399"/>
      <c r="AI61" s="1399"/>
      <c r="AJ61" s="1399"/>
      <c r="AK61" s="1399"/>
      <c r="AL61" s="1399"/>
      <c r="AM61" s="1399"/>
      <c r="AN61" s="1399"/>
    </row>
    <row r="62" spans="1:40" s="1398" customFormat="1" ht="24">
      <c r="A62" s="1063" t="s">
        <v>1024</v>
      </c>
      <c r="B62" s="2370" t="str">
        <f>估价对象房地状况!C24</f>
        <v>次干道</v>
      </c>
      <c r="C62" s="1050"/>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9"/>
      <c r="AF62" s="1399"/>
      <c r="AG62" s="1399"/>
      <c r="AH62" s="1399"/>
      <c r="AI62" s="1399"/>
      <c r="AJ62" s="1399"/>
      <c r="AK62" s="1399"/>
      <c r="AL62" s="1399"/>
      <c r="AM62" s="1399"/>
      <c r="AN62" s="1399"/>
    </row>
    <row r="63" spans="1:40" s="1398" customFormat="1" ht="36">
      <c r="A63" s="1063" t="s">
        <v>1025</v>
      </c>
      <c r="B63" s="3043" t="s">
        <v>2930</v>
      </c>
      <c r="C63" s="1050"/>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9"/>
      <c r="AF63" s="1399"/>
      <c r="AG63" s="1399"/>
      <c r="AH63" s="1399"/>
      <c r="AI63" s="1399"/>
      <c r="AJ63" s="1399"/>
      <c r="AK63" s="1399"/>
      <c r="AL63" s="1399"/>
      <c r="AM63" s="1399"/>
      <c r="AN63" s="1399"/>
    </row>
    <row r="64" spans="1:40" s="1398" customFormat="1" ht="24">
      <c r="A64" s="1063" t="s">
        <v>1026</v>
      </c>
      <c r="B64" s="2371" t="str">
        <f>估价对象房地状况!C21</f>
        <v>一般</v>
      </c>
      <c r="C64" s="1050"/>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9"/>
      <c r="AF64" s="1399"/>
      <c r="AG64" s="1399"/>
      <c r="AH64" s="1399"/>
      <c r="AI64" s="1399"/>
      <c r="AJ64" s="1399"/>
      <c r="AK64" s="1399"/>
      <c r="AL64" s="1399"/>
      <c r="AM64" s="1399"/>
      <c r="AN64" s="1399"/>
    </row>
    <row r="65" spans="1:40" s="1398" customFormat="1" ht="24">
      <c r="A65" s="1063" t="s">
        <v>1027</v>
      </c>
      <c r="B65" s="2371" t="str">
        <f>估价对象房地状况!C22</f>
        <v>六通</v>
      </c>
      <c r="C65" s="1050"/>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9"/>
      <c r="AF65" s="1399"/>
      <c r="AG65" s="1399"/>
      <c r="AH65" s="1399"/>
      <c r="AI65" s="1399"/>
      <c r="AJ65" s="1399"/>
      <c r="AK65" s="1399"/>
      <c r="AL65" s="1399"/>
      <c r="AM65" s="1399"/>
      <c r="AN65" s="1399"/>
    </row>
    <row r="66" spans="1:40" s="1398" customFormat="1" ht="36.6" thickBot="1">
      <c r="A66" s="2403" t="s">
        <v>1028</v>
      </c>
      <c r="B66" s="2375" t="str">
        <f>估价对象房地状况!C20</f>
        <v>一般</v>
      </c>
      <c r="C66" s="1050"/>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9"/>
      <c r="AF66" s="1399"/>
      <c r="AG66" s="1399"/>
      <c r="AH66" s="1399"/>
      <c r="AI66" s="1399"/>
      <c r="AJ66" s="1399"/>
      <c r="AK66" s="1399"/>
      <c r="AL66" s="1399"/>
      <c r="AM66" s="1399"/>
      <c r="AN66" s="1399"/>
    </row>
    <row r="67" spans="1:40" s="1398" customFormat="1" ht="14.4">
      <c r="A67" s="2386" t="s">
        <v>1031</v>
      </c>
      <c r="B67" s="2387">
        <f>1+E69</f>
        <v>1</v>
      </c>
      <c r="C67" s="2406"/>
      <c r="D67" s="2389"/>
      <c r="E67" s="2390"/>
      <c r="F67" s="2391"/>
      <c r="G67" s="2385"/>
      <c r="H67" s="2385"/>
      <c r="I67" s="2385"/>
      <c r="J67" s="1062"/>
      <c r="K67" s="1062"/>
      <c r="L67" s="1062"/>
      <c r="M67" s="1062"/>
      <c r="N67" s="1062"/>
      <c r="P67" s="2179"/>
      <c r="Q67" s="2179"/>
      <c r="R67" s="2180"/>
      <c r="S67" s="2180"/>
      <c r="T67" s="2180"/>
      <c r="U67" s="2180"/>
      <c r="V67" s="2180"/>
      <c r="W67" s="2179"/>
      <c r="X67" s="2179"/>
      <c r="Y67" s="2179"/>
      <c r="Z67" s="2179"/>
      <c r="AA67" s="2179"/>
      <c r="AB67" s="2179"/>
      <c r="AC67" s="2179"/>
      <c r="AD67" s="2180"/>
      <c r="AE67" s="1399"/>
      <c r="AF67" s="1399"/>
      <c r="AG67" s="1399"/>
      <c r="AH67" s="1399"/>
      <c r="AI67" s="1399"/>
      <c r="AJ67" s="1399"/>
      <c r="AK67" s="1399"/>
      <c r="AL67" s="1399"/>
      <c r="AM67" s="1399"/>
      <c r="AN67" s="1399"/>
    </row>
    <row r="68" spans="1:40" s="1398" customFormat="1" ht="24">
      <c r="A68" s="1063" t="s">
        <v>1008</v>
      </c>
      <c r="B68" s="2370"/>
      <c r="C68" s="2392" t="s">
        <v>1010</v>
      </c>
      <c r="D68" s="2393" t="s">
        <v>1011</v>
      </c>
      <c r="E68" s="2394" t="s">
        <v>1013</v>
      </c>
      <c r="F68" s="2395" t="s">
        <v>2249</v>
      </c>
      <c r="G68" s="2393" t="s">
        <v>1014</v>
      </c>
      <c r="H68" s="2376" t="s">
        <v>2415</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9"/>
      <c r="AF68" s="1399"/>
      <c r="AG68" s="1399"/>
      <c r="AH68" s="1399"/>
      <c r="AI68" s="1399"/>
      <c r="AJ68" s="1399"/>
      <c r="AK68" s="1399"/>
      <c r="AL68" s="1399"/>
      <c r="AM68" s="1399"/>
      <c r="AN68" s="1399"/>
    </row>
    <row r="69" spans="1:40" s="1398" customFormat="1" ht="24">
      <c r="A69" s="1063" t="s">
        <v>1032</v>
      </c>
      <c r="B69" s="2373" t="str">
        <f>估价对象房地状况!C15</f>
        <v>较好</v>
      </c>
      <c r="C69" s="1155"/>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9"/>
      <c r="AF69" s="1399"/>
      <c r="AG69" s="1399"/>
      <c r="AH69" s="1399"/>
      <c r="AI69" s="1399"/>
      <c r="AJ69" s="1399"/>
      <c r="AK69" s="1399"/>
      <c r="AL69" s="1399"/>
      <c r="AM69" s="1399"/>
      <c r="AN69" s="1399"/>
    </row>
    <row r="70" spans="1:40" s="1398" customFormat="1" ht="24">
      <c r="A70" s="1063" t="s">
        <v>1033</v>
      </c>
      <c r="B70" s="2370" t="str">
        <f>估价对象房地状况!C18</f>
        <v>较好</v>
      </c>
      <c r="C70" s="1155"/>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9"/>
      <c r="AF70" s="1399"/>
      <c r="AG70" s="1399"/>
      <c r="AH70" s="1399"/>
      <c r="AI70" s="1399"/>
      <c r="AJ70" s="1399"/>
      <c r="AK70" s="1399"/>
      <c r="AL70" s="1399"/>
      <c r="AM70" s="1399"/>
      <c r="AN70" s="1399"/>
    </row>
    <row r="71" spans="1:40" s="1398" customFormat="1" ht="24">
      <c r="A71" s="1063" t="s">
        <v>1022</v>
      </c>
      <c r="B71" s="2370">
        <f>估价对象房地状况!C19</f>
        <v>0</v>
      </c>
      <c r="C71" s="1155"/>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9"/>
      <c r="AF71" s="1399"/>
      <c r="AG71" s="1399"/>
      <c r="AH71" s="1399"/>
      <c r="AI71" s="1399"/>
      <c r="AJ71" s="1399"/>
      <c r="AK71" s="1399"/>
      <c r="AL71" s="1399"/>
      <c r="AM71" s="1399"/>
      <c r="AN71" s="1399"/>
    </row>
    <row r="72" spans="1:40" s="1398" customFormat="1" ht="13.8">
      <c r="A72" s="1063" t="s">
        <v>1034</v>
      </c>
      <c r="B72" s="2370" t="str">
        <f>估价对象房地状况!C24</f>
        <v>次干道</v>
      </c>
      <c r="C72" s="1155"/>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9"/>
      <c r="AF72" s="1399"/>
      <c r="AG72" s="1399"/>
      <c r="AH72" s="1399"/>
      <c r="AI72" s="1399"/>
      <c r="AJ72" s="1399"/>
      <c r="AK72" s="1399"/>
      <c r="AL72" s="1399"/>
      <c r="AM72" s="1399"/>
      <c r="AN72" s="1399"/>
    </row>
    <row r="73" spans="1:40" s="1398" customFormat="1" ht="24">
      <c r="A73" s="1063" t="s">
        <v>1026</v>
      </c>
      <c r="B73" s="2371" t="str">
        <f>估价对象房地状况!C21</f>
        <v>一般</v>
      </c>
      <c r="C73" s="1155"/>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9"/>
      <c r="AF73" s="1399"/>
      <c r="AG73" s="1399"/>
      <c r="AH73" s="1399"/>
      <c r="AI73" s="1399"/>
      <c r="AJ73" s="1399"/>
      <c r="AK73" s="1399"/>
      <c r="AL73" s="1399"/>
      <c r="AM73" s="1399"/>
      <c r="AN73" s="1399"/>
    </row>
    <row r="74" spans="1:40" s="1398" customFormat="1" ht="24">
      <c r="A74" s="1063" t="s">
        <v>1027</v>
      </c>
      <c r="B74" s="2371" t="str">
        <f>估价对象房地状况!C22</f>
        <v>六通</v>
      </c>
      <c r="C74" s="1155"/>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9"/>
      <c r="AF74" s="1399"/>
      <c r="AG74" s="1399"/>
      <c r="AH74" s="1399"/>
      <c r="AI74" s="1399"/>
      <c r="AJ74" s="1399"/>
      <c r="AK74" s="1399"/>
      <c r="AL74" s="1399"/>
      <c r="AM74" s="1399"/>
      <c r="AN74" s="1399"/>
    </row>
    <row r="75" spans="1:40" s="1398" customFormat="1" ht="36">
      <c r="A75" s="1063" t="s">
        <v>1025</v>
      </c>
      <c r="B75" s="3043" t="s">
        <v>2930</v>
      </c>
      <c r="C75" s="1155"/>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9"/>
      <c r="AF75" s="1399"/>
      <c r="AG75" s="1399"/>
      <c r="AH75" s="1399"/>
      <c r="AI75" s="1399"/>
      <c r="AJ75" s="1399"/>
      <c r="AK75" s="1399"/>
      <c r="AL75" s="1399"/>
      <c r="AM75" s="1399"/>
      <c r="AN75" s="1399"/>
    </row>
    <row r="76" spans="1:40" ht="36">
      <c r="A76" s="1063" t="s">
        <v>1028</v>
      </c>
      <c r="B76" s="2373" t="str">
        <f>估价对象房地状况!C20</f>
        <v>一般</v>
      </c>
      <c r="C76" s="1155"/>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9"/>
      <c r="AN76" s="1400"/>
    </row>
    <row r="77" spans="1:40" ht="36.6" thickBot="1">
      <c r="A77" s="2403" t="s">
        <v>1035</v>
      </c>
      <c r="B77" s="1833"/>
      <c r="C77" s="1155"/>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401"/>
      <c r="AD77" s="1400"/>
      <c r="AJ77" s="1399"/>
      <c r="AN77" s="1400"/>
    </row>
    <row r="78" spans="1:40" ht="14.4">
      <c r="A78" s="2386" t="s">
        <v>1036</v>
      </c>
      <c r="B78" s="2387">
        <f>1+E80</f>
        <v>1</v>
      </c>
      <c r="C78" s="2406"/>
      <c r="D78" s="2389"/>
      <c r="E78" s="2390"/>
      <c r="F78" s="2391"/>
      <c r="G78" s="2385"/>
      <c r="H78" s="2385"/>
      <c r="I78" s="2385"/>
      <c r="J78" s="1062"/>
      <c r="K78" s="1062"/>
      <c r="L78" s="1062"/>
      <c r="M78" s="1062"/>
      <c r="N78" s="1062"/>
      <c r="AC78" s="1401"/>
      <c r="AD78" s="1400"/>
      <c r="AJ78" s="1399"/>
      <c r="AN78" s="1400"/>
    </row>
    <row r="79" spans="1:40" ht="24">
      <c r="A79" s="1063" t="s">
        <v>1008</v>
      </c>
      <c r="B79" s="2370"/>
      <c r="C79" s="2392" t="s">
        <v>1010</v>
      </c>
      <c r="D79" s="2393" t="s">
        <v>1011</v>
      </c>
      <c r="E79" s="2394" t="s">
        <v>1013</v>
      </c>
      <c r="F79" s="2395" t="s">
        <v>2250</v>
      </c>
      <c r="G79" s="2393" t="s">
        <v>1014</v>
      </c>
      <c r="H79" s="2376" t="s">
        <v>2415</v>
      </c>
      <c r="I79" s="2393" t="s">
        <v>1012</v>
      </c>
      <c r="J79" s="2396" t="s">
        <v>1015</v>
      </c>
      <c r="K79" s="2396" t="s">
        <v>1016</v>
      </c>
      <c r="L79" s="2396" t="s">
        <v>1017</v>
      </c>
      <c r="M79" s="2396" t="s">
        <v>1018</v>
      </c>
      <c r="N79" s="2396" t="s">
        <v>1019</v>
      </c>
      <c r="AC79" s="1401"/>
      <c r="AD79" s="1400"/>
      <c r="AJ79" s="1399"/>
      <c r="AN79" s="1400"/>
    </row>
    <row r="80" spans="1:40" ht="36">
      <c r="A80" s="1063" t="s">
        <v>1037</v>
      </c>
      <c r="B80" s="2370" t="str">
        <f>估价对象房地状况!G15</f>
        <v>估价对象位于XX开发区，园区建设成熟度XX，产业集聚程度XX</v>
      </c>
      <c r="C80" s="1050"/>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401"/>
      <c r="AD80" s="1400"/>
      <c r="AJ80" s="1399"/>
      <c r="AN80" s="1400"/>
    </row>
    <row r="81" spans="1:40" ht="48">
      <c r="A81" s="1063" t="s">
        <v>1033</v>
      </c>
      <c r="B81" s="2370" t="str">
        <f>估价对象房地状况!G16</f>
        <v>估价对象周边道路状况、公共交通通达情况、停车便捷程度，综合评价交通便捷度较好</v>
      </c>
      <c r="C81" s="1050"/>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401"/>
      <c r="AD81" s="1400"/>
      <c r="AJ81" s="1399"/>
      <c r="AN81" s="1400"/>
    </row>
    <row r="82" spans="1:40" ht="24">
      <c r="A82" s="1063" t="s">
        <v>1022</v>
      </c>
      <c r="B82" s="2370">
        <f>估价对象房地状况!G17</f>
        <v>0</v>
      </c>
      <c r="C82" s="1050"/>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401"/>
      <c r="AD82" s="1400"/>
      <c r="AJ82" s="1399"/>
      <c r="AN82" s="1400"/>
    </row>
    <row r="83" spans="1:40" ht="13.8">
      <c r="A83" s="1063" t="s">
        <v>1034</v>
      </c>
      <c r="B83" s="2370">
        <f>估价对象房地状况!G22</f>
        <v>0</v>
      </c>
      <c r="C83" s="1050"/>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401"/>
      <c r="AD83" s="1400"/>
      <c r="AJ83" s="1399"/>
      <c r="AN83" s="1400"/>
    </row>
    <row r="84" spans="1:40" ht="24">
      <c r="A84" s="1063" t="s">
        <v>1026</v>
      </c>
      <c r="B84" s="2371" t="str">
        <f>估价对象房地状况!G19</f>
        <v>估价对象所在区域公共配套设施齐备情况</v>
      </c>
      <c r="C84" s="1050"/>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401"/>
      <c r="AD84" s="1400"/>
      <c r="AJ84" s="1399"/>
      <c r="AN84" s="1400"/>
    </row>
    <row r="85" spans="1:40" ht="24">
      <c r="A85" s="1063" t="s">
        <v>1027</v>
      </c>
      <c r="B85" s="2371" t="str">
        <f>估价对象房地状况!G20</f>
        <v>估价对象所在区域基础设施水平</v>
      </c>
      <c r="C85" s="1050"/>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401"/>
      <c r="AD85" s="1400"/>
      <c r="AJ85" s="1399"/>
      <c r="AN85" s="1400"/>
    </row>
    <row r="86" spans="1:40" ht="36">
      <c r="A86" s="1063" t="s">
        <v>1025</v>
      </c>
      <c r="B86" s="3043" t="s">
        <v>2930</v>
      </c>
      <c r="C86" s="1050"/>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401"/>
      <c r="AD86" s="1400"/>
      <c r="AJ86" s="1399"/>
      <c r="AN86" s="1400"/>
    </row>
    <row r="87" spans="1:40" ht="48.6" thickBot="1">
      <c r="A87" s="2403" t="s">
        <v>1038</v>
      </c>
      <c r="B87" s="2372" t="str">
        <f>估价对象房地状况!G18</f>
        <v>该园区内是否有污染型企业，绿化情况，卫生条件，整体环境状况判断</v>
      </c>
      <c r="C87" s="1050"/>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401"/>
      <c r="AD87" s="1400"/>
      <c r="AJ87" s="1399"/>
      <c r="AN87" s="1400"/>
    </row>
    <row r="90" spans="1:40">
      <c r="A90" s="3552" t="s">
        <v>1633</v>
      </c>
      <c r="B90" s="3552"/>
      <c r="C90" s="3552"/>
      <c r="D90" s="3552"/>
      <c r="E90" s="3552"/>
      <c r="F90" s="3552"/>
      <c r="G90" s="3552"/>
      <c r="H90" s="3552"/>
      <c r="I90" s="3552"/>
      <c r="J90" s="3552"/>
      <c r="K90" s="2412"/>
      <c r="L90" s="2412"/>
      <c r="M90" s="2412"/>
      <c r="N90" s="2412"/>
    </row>
    <row r="91" spans="1:40">
      <c r="A91" s="3553" t="s">
        <v>1443</v>
      </c>
      <c r="B91" s="3553" t="s">
        <v>1634</v>
      </c>
      <c r="C91" s="1136" t="s">
        <v>1635</v>
      </c>
      <c r="D91" s="1137"/>
      <c r="E91" s="1137"/>
      <c r="F91" s="1137"/>
      <c r="G91" s="1137"/>
      <c r="H91" s="1137"/>
      <c r="I91" s="1137"/>
      <c r="J91" s="1138"/>
      <c r="K91" s="1130"/>
      <c r="L91" s="1130"/>
      <c r="M91" s="1130"/>
      <c r="N91" s="1130"/>
    </row>
    <row r="92" spans="1:40">
      <c r="A92" s="3553"/>
      <c r="B92" s="3553"/>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560" t="s">
        <v>2760</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561"/>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561"/>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561"/>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561"/>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561"/>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561"/>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562"/>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560" t="s">
        <v>1637</v>
      </c>
      <c r="B101" s="1143" t="s">
        <v>906</v>
      </c>
      <c r="C101" s="1144">
        <f>$G$3</f>
        <v>3.5</v>
      </c>
      <c r="D101" s="1144">
        <f t="shared" ref="D101:N101" si="31">$G$3</f>
        <v>3.5</v>
      </c>
      <c r="E101" s="1144">
        <f t="shared" si="31"/>
        <v>3.5</v>
      </c>
      <c r="F101" s="1144">
        <f t="shared" si="31"/>
        <v>3.5</v>
      </c>
      <c r="G101" s="1144">
        <f t="shared" si="31"/>
        <v>3.5</v>
      </c>
      <c r="H101" s="1144">
        <f t="shared" si="31"/>
        <v>3.5</v>
      </c>
      <c r="I101" s="1144">
        <f t="shared" si="31"/>
        <v>3.5</v>
      </c>
      <c r="J101" s="1144">
        <f t="shared" si="31"/>
        <v>3.5</v>
      </c>
      <c r="K101" s="1144">
        <f t="shared" si="31"/>
        <v>3.5</v>
      </c>
      <c r="L101" s="1144">
        <f t="shared" si="31"/>
        <v>3.5</v>
      </c>
      <c r="M101" s="1144">
        <f t="shared" si="31"/>
        <v>3.5</v>
      </c>
      <c r="N101" s="1144">
        <f t="shared" si="31"/>
        <v>3.5</v>
      </c>
    </row>
    <row r="102" spans="1:14">
      <c r="A102" s="3561"/>
      <c r="B102" s="1139">
        <v>1</v>
      </c>
      <c r="C102" s="1140">
        <f>1.9362/C101</f>
        <v>0.55320000000000003</v>
      </c>
      <c r="D102" s="1140">
        <f>1.9362/D101</f>
        <v>0.55320000000000003</v>
      </c>
      <c r="E102" s="1140">
        <f>1.8629/E101</f>
        <v>0.53225714285714287</v>
      </c>
      <c r="F102" s="1140">
        <f>1.8629/F101</f>
        <v>0.53225714285714287</v>
      </c>
      <c r="G102" s="1140">
        <f>1.8629/G101</f>
        <v>0.53225714285714287</v>
      </c>
      <c r="H102" s="1140">
        <f>1.8629/H101</f>
        <v>0.53225714285714287</v>
      </c>
      <c r="I102" s="1140">
        <f>1.8629/I101</f>
        <v>0.53225714285714287</v>
      </c>
      <c r="J102" s="1140">
        <f>1.942/J101</f>
        <v>0.55485714285714283</v>
      </c>
      <c r="K102" s="1140">
        <f>1.942/K101</f>
        <v>0.55485714285714283</v>
      </c>
      <c r="L102" s="1140">
        <f>1.942/L101</f>
        <v>0.55485714285714283</v>
      </c>
      <c r="M102" s="1140">
        <f>1.942/M101</f>
        <v>0.55485714285714283</v>
      </c>
      <c r="N102" s="1140">
        <f>1.942/N101</f>
        <v>0.55485714285714283</v>
      </c>
    </row>
    <row r="103" spans="1:14">
      <c r="A103" s="3561"/>
      <c r="B103" s="1139">
        <v>2</v>
      </c>
      <c r="C103" s="1140">
        <f>1.4198/C101</f>
        <v>0.40565714285714283</v>
      </c>
      <c r="D103" s="1140">
        <f>1.4198/D101</f>
        <v>0.40565714285714283</v>
      </c>
      <c r="E103" s="1140">
        <f>1.3372/E101</f>
        <v>0.38205714285714282</v>
      </c>
      <c r="F103" s="1140">
        <f>1.3372/F101</f>
        <v>0.38205714285714282</v>
      </c>
      <c r="G103" s="1140">
        <f>1.3372/G101</f>
        <v>0.38205714285714282</v>
      </c>
      <c r="H103" s="1140">
        <f>1.3372/H101</f>
        <v>0.38205714285714282</v>
      </c>
      <c r="I103" s="1140">
        <f>1.3372/I101</f>
        <v>0.38205714285714282</v>
      </c>
      <c r="J103" s="1140">
        <f>1.2799/J101</f>
        <v>0.36568571428571428</v>
      </c>
      <c r="K103" s="1140">
        <f>1.2799/K101</f>
        <v>0.36568571428571428</v>
      </c>
      <c r="L103" s="1140">
        <f>1.2799/L101</f>
        <v>0.36568571428571428</v>
      </c>
      <c r="M103" s="1140">
        <f>1.2799/M101</f>
        <v>0.36568571428571428</v>
      </c>
      <c r="N103" s="1140">
        <f>1.2799/N101</f>
        <v>0.36568571428571428</v>
      </c>
    </row>
    <row r="104" spans="1:14">
      <c r="A104" s="3561"/>
      <c r="B104" s="1139">
        <v>3</v>
      </c>
      <c r="C104" s="1140">
        <f>1.1594/C101</f>
        <v>0.33125714285714286</v>
      </c>
      <c r="D104" s="1140">
        <f>1.1594/D101</f>
        <v>0.33125714285714286</v>
      </c>
      <c r="E104" s="1140">
        <f>1.0788/E101</f>
        <v>0.30822857142857141</v>
      </c>
      <c r="F104" s="1140">
        <f>1.0788/F101</f>
        <v>0.30822857142857141</v>
      </c>
      <c r="G104" s="1140">
        <f>1.0788/G101</f>
        <v>0.30822857142857141</v>
      </c>
      <c r="H104" s="1140">
        <f>1.0788/H101</f>
        <v>0.30822857142857141</v>
      </c>
      <c r="I104" s="1140">
        <f>1.0788/I101</f>
        <v>0.30822857142857141</v>
      </c>
      <c r="J104" s="1140">
        <f>1.0072/J101</f>
        <v>0.28777142857142862</v>
      </c>
      <c r="K104" s="1140">
        <f>1.0072/K101</f>
        <v>0.28777142857142862</v>
      </c>
      <c r="L104" s="1140">
        <f>1.0072/L101</f>
        <v>0.28777142857142862</v>
      </c>
      <c r="M104" s="1140">
        <f>1.0072/M101</f>
        <v>0.28777142857142862</v>
      </c>
      <c r="N104" s="1140">
        <f>1.0072/N101</f>
        <v>0.28777142857142862</v>
      </c>
    </row>
    <row r="105" spans="1:14">
      <c r="A105" s="3561"/>
      <c r="B105" s="1139">
        <v>4</v>
      </c>
      <c r="C105" s="1140">
        <f>0.9622/C101</f>
        <v>0.27491428571428572</v>
      </c>
      <c r="D105" s="1140">
        <f>0.9622/D101</f>
        <v>0.27491428571428572</v>
      </c>
      <c r="E105" s="1140">
        <f>0.8656/E101</f>
        <v>0.24731428571428574</v>
      </c>
      <c r="F105" s="1140">
        <f>0.8656/F101</f>
        <v>0.24731428571428574</v>
      </c>
      <c r="G105" s="1140">
        <f>0.8656/G101</f>
        <v>0.24731428571428574</v>
      </c>
      <c r="H105" s="1140">
        <f>0.8656/H101</f>
        <v>0.24731428571428574</v>
      </c>
      <c r="I105" s="1140">
        <f>0.8656/I101</f>
        <v>0.24731428571428574</v>
      </c>
      <c r="J105" s="1140">
        <f>0.7525/J101</f>
        <v>0.215</v>
      </c>
      <c r="K105" s="1140">
        <f>0.7525/K101</f>
        <v>0.215</v>
      </c>
      <c r="L105" s="1140">
        <f>0.7525/L101</f>
        <v>0.215</v>
      </c>
      <c r="M105" s="1140">
        <f>0.7525/M101</f>
        <v>0.215</v>
      </c>
      <c r="N105" s="1140">
        <f>0.7525/N101</f>
        <v>0.215</v>
      </c>
    </row>
    <row r="106" spans="1:14">
      <c r="A106" s="3561"/>
      <c r="B106" s="1139">
        <v>5</v>
      </c>
      <c r="C106" s="1140">
        <f>0.8417/C101</f>
        <v>0.24048571428571427</v>
      </c>
      <c r="D106" s="1140">
        <f>0.8417/D101</f>
        <v>0.24048571428571427</v>
      </c>
      <c r="E106" s="1140">
        <f>0.7371/E101</f>
        <v>0.21059999999999998</v>
      </c>
      <c r="F106" s="1140">
        <f>0.7371/F101</f>
        <v>0.21059999999999998</v>
      </c>
      <c r="G106" s="1140">
        <f>0.7371/G101</f>
        <v>0.21059999999999998</v>
      </c>
      <c r="H106" s="1140">
        <f>0.7371/H101</f>
        <v>0.21059999999999998</v>
      </c>
      <c r="I106" s="1140">
        <f>0.7371/I101</f>
        <v>0.21059999999999998</v>
      </c>
      <c r="J106" s="1140">
        <f>0.5659/J101</f>
        <v>0.16168571428571427</v>
      </c>
      <c r="K106" s="1140">
        <f>0.5659/K101</f>
        <v>0.16168571428571427</v>
      </c>
      <c r="L106" s="1140">
        <f>0.5659/L101</f>
        <v>0.16168571428571427</v>
      </c>
      <c r="M106" s="1140">
        <f>0.5659/M101</f>
        <v>0.16168571428571427</v>
      </c>
      <c r="N106" s="1140">
        <f>0.5659/N101</f>
        <v>0.16168571428571427</v>
      </c>
    </row>
    <row r="107" spans="1:14">
      <c r="A107" s="3561"/>
      <c r="B107" s="1139">
        <v>6</v>
      </c>
      <c r="C107" s="1140">
        <f>0.7608/C101</f>
        <v>0.21737142857142858</v>
      </c>
      <c r="D107" s="1140">
        <f>0.7608/D101</f>
        <v>0.21737142857142858</v>
      </c>
      <c r="E107" s="1140">
        <f>0.6482/E101</f>
        <v>0.1852</v>
      </c>
      <c r="F107" s="1140">
        <f>0.6482/F101</f>
        <v>0.1852</v>
      </c>
      <c r="G107" s="1140">
        <f>0.6482/G101</f>
        <v>0.1852</v>
      </c>
      <c r="H107" s="1140">
        <f>0.6482/H101</f>
        <v>0.1852</v>
      </c>
      <c r="I107" s="1140">
        <f>0.6482/I101</f>
        <v>0.1852</v>
      </c>
      <c r="J107" s="1140">
        <f>0.4525/J101</f>
        <v>0.12928571428571428</v>
      </c>
      <c r="K107" s="1140">
        <f>0.4525/K101</f>
        <v>0.12928571428571428</v>
      </c>
      <c r="L107" s="1140">
        <f>0.4525/L101</f>
        <v>0.12928571428571428</v>
      </c>
      <c r="M107" s="1140">
        <f>0.4525/M101</f>
        <v>0.12928571428571428</v>
      </c>
      <c r="N107" s="1140">
        <f>0.4525/N101</f>
        <v>0.12928571428571428</v>
      </c>
    </row>
    <row r="108" spans="1:14">
      <c r="A108" s="3561"/>
      <c r="B108" s="3563"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562"/>
      <c r="B109" s="3564"/>
      <c r="C109" s="1142">
        <f>(-0.163*(C108^2)-0.59*C108+7617)*(10^(-4))/C101</f>
        <v>0.21719565714285713</v>
      </c>
      <c r="D109" s="1142">
        <f>(-0.163*(D108^2)-0.59*D108+7617)*(10^(-4))/D101</f>
        <v>0.21719565714285713</v>
      </c>
      <c r="E109" s="1142">
        <f>(-0.161*(E108^2)-7.509*E108+6533)*(10^(-4))/E101</f>
        <v>0.18464640000000002</v>
      </c>
      <c r="F109" s="1142">
        <f>(-0.161*(F108^2)-7.509*F108+6533)*(10^(-4))/F101</f>
        <v>0.18464640000000002</v>
      </c>
      <c r="G109" s="1142">
        <f>(-0.161*(G108^2)-7.509*G108+6533)*(10^(-4))/G101</f>
        <v>0.18464640000000002</v>
      </c>
      <c r="H109" s="1142">
        <f>(-0.161*(H108^2)-7.509*H108+6533)*(10^(-4))/H101</f>
        <v>0.18464640000000002</v>
      </c>
      <c r="I109" s="1142">
        <f>(-0.161*(I108^2)-7.509*I108+6533)*(10^(-4))/I101</f>
        <v>0.18464640000000002</v>
      </c>
      <c r="J109" s="1142">
        <f>(-0.214*(J108^2)-21.991*J108+4665)*(10^(-4))/J101</f>
        <v>0.12786788571428573</v>
      </c>
      <c r="K109" s="1142">
        <f>(-0.214*(K108^2)-21.991*K108+4665)*(10^(-4))/K101</f>
        <v>0.12786788571428573</v>
      </c>
      <c r="L109" s="1142">
        <f>(-0.214*(L108^2)-21.991*L108+4665)*(10^(-4))/L101</f>
        <v>0.12786788571428573</v>
      </c>
      <c r="M109" s="1142">
        <f>(-0.214*(M108^2)-21.991*M108+4665)*(10^(-4))/M101</f>
        <v>0.12786788571428573</v>
      </c>
      <c r="N109" s="1142">
        <f>(-0.214*(N108^2)-21.991*N108+4665)*(10^(-4))/N101</f>
        <v>0.12786788571428573</v>
      </c>
    </row>
    <row r="110" spans="1:14">
      <c r="A110" s="3546" t="s">
        <v>1639</v>
      </c>
      <c r="B110" s="3546"/>
      <c r="C110" s="3546"/>
      <c r="D110" s="3546"/>
      <c r="E110" s="3546"/>
      <c r="F110" s="3546"/>
      <c r="G110" s="3546"/>
      <c r="H110" s="3546"/>
      <c r="I110" s="3546"/>
      <c r="J110" s="3546"/>
      <c r="K110" s="2410"/>
      <c r="L110" s="2410"/>
      <c r="M110" s="2410"/>
      <c r="N110" s="2410"/>
    </row>
    <row r="112" spans="1:14" ht="12.6" thickBot="1"/>
    <row r="113" spans="1:13" ht="25.8" thickBot="1">
      <c r="A113" s="1016" t="s">
        <v>896</v>
      </c>
      <c r="B113" s="2413">
        <f>G3</f>
        <v>3.5</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0.90059999999999996</v>
      </c>
      <c r="C115" s="1030">
        <f>B115</f>
        <v>0.90059999999999996</v>
      </c>
      <c r="D115" s="1030">
        <f>ROUND(0.8331-0.0109*B113,4)</f>
        <v>0.79500000000000004</v>
      </c>
      <c r="E115" s="1030">
        <f>D115</f>
        <v>0.79500000000000004</v>
      </c>
      <c r="F115" s="1030">
        <f>E115</f>
        <v>0.79500000000000004</v>
      </c>
      <c r="G115" s="1030">
        <f>F115</f>
        <v>0.79500000000000004</v>
      </c>
      <c r="H115" s="1030">
        <f>G115</f>
        <v>0.79500000000000004</v>
      </c>
      <c r="I115" s="1030">
        <f>ROUND(0.689-0.0155*B113,4)</f>
        <v>0.63480000000000003</v>
      </c>
      <c r="J115" s="1030">
        <f t="shared" ref="J115:M118" si="33">I115</f>
        <v>0.63480000000000003</v>
      </c>
      <c r="K115" s="1030">
        <f t="shared" si="33"/>
        <v>0.63480000000000003</v>
      </c>
      <c r="L115" s="1030">
        <f t="shared" si="33"/>
        <v>0.63480000000000003</v>
      </c>
      <c r="M115" s="1031">
        <f t="shared" si="33"/>
        <v>0.63480000000000003</v>
      </c>
    </row>
    <row r="116" spans="1:13" ht="13.2">
      <c r="A116" s="1029" t="s">
        <v>901</v>
      </c>
      <c r="B116" s="1030">
        <f>ROUND(0.949-0.012*B113,4)</f>
        <v>0.90700000000000003</v>
      </c>
      <c r="C116" s="1030">
        <f>B116</f>
        <v>0.90700000000000003</v>
      </c>
      <c r="D116" s="1030">
        <f>ROUND(0.8567-0.013*B113,4)</f>
        <v>0.81120000000000003</v>
      </c>
      <c r="E116" s="1030">
        <f t="shared" ref="E116:H117" si="34">D116</f>
        <v>0.81120000000000003</v>
      </c>
      <c r="F116" s="1030">
        <f t="shared" si="34"/>
        <v>0.81120000000000003</v>
      </c>
      <c r="G116" s="1030">
        <f t="shared" si="34"/>
        <v>0.81120000000000003</v>
      </c>
      <c r="H116" s="1030">
        <f t="shared" si="34"/>
        <v>0.81120000000000003</v>
      </c>
      <c r="I116" s="1030">
        <f>ROUND(0.7694-0.014*B113,4)</f>
        <v>0.72040000000000004</v>
      </c>
      <c r="J116" s="1030">
        <f t="shared" si="33"/>
        <v>0.72040000000000004</v>
      </c>
      <c r="K116" s="1030">
        <f t="shared" si="33"/>
        <v>0.72040000000000004</v>
      </c>
      <c r="L116" s="1030">
        <f t="shared" si="33"/>
        <v>0.72040000000000004</v>
      </c>
      <c r="M116" s="1031">
        <f t="shared" si="33"/>
        <v>0.72040000000000004</v>
      </c>
    </row>
    <row r="117" spans="1:13" ht="13.2">
      <c r="A117" s="1032" t="s">
        <v>902</v>
      </c>
      <c r="B117" s="1030">
        <f>ROUND(0.8808-0.006*B113,4)</f>
        <v>0.85980000000000001</v>
      </c>
      <c r="C117" s="1030">
        <f>B117</f>
        <v>0.85980000000000001</v>
      </c>
      <c r="D117" s="1030">
        <f>ROUND(0.8748-0.008*B113,4)</f>
        <v>0.8468</v>
      </c>
      <c r="E117" s="1030">
        <f t="shared" si="34"/>
        <v>0.8468</v>
      </c>
      <c r="F117" s="1030">
        <f t="shared" si="34"/>
        <v>0.8468</v>
      </c>
      <c r="G117" s="1030">
        <f t="shared" si="34"/>
        <v>0.8468</v>
      </c>
      <c r="H117" s="1030">
        <f t="shared" si="34"/>
        <v>0.8468</v>
      </c>
      <c r="I117" s="1030">
        <f>ROUND(0.7412-0.0095*B113,4)</f>
        <v>0.70799999999999996</v>
      </c>
      <c r="J117" s="1030">
        <f t="shared" si="33"/>
        <v>0.70799999999999996</v>
      </c>
      <c r="K117" s="1030">
        <f t="shared" si="33"/>
        <v>0.70799999999999996</v>
      </c>
      <c r="L117" s="1030">
        <f t="shared" si="33"/>
        <v>0.70799999999999996</v>
      </c>
      <c r="M117" s="1031">
        <f t="shared" si="33"/>
        <v>0.70799999999999996</v>
      </c>
    </row>
    <row r="118" spans="1:13" ht="13.8" thickBot="1">
      <c r="A118" s="1033" t="s">
        <v>903</v>
      </c>
      <c r="B118" s="1034">
        <f>ROUND(0.7275-0.01*B113,4)</f>
        <v>0.6925</v>
      </c>
      <c r="C118" s="1034">
        <f>B118</f>
        <v>0.6925</v>
      </c>
      <c r="D118" s="1034">
        <f>ROUND(0.7043-0.012*B113,4)</f>
        <v>0.6623</v>
      </c>
      <c r="E118" s="1034">
        <f>D118</f>
        <v>0.6623</v>
      </c>
      <c r="F118" s="1034">
        <f>E118</f>
        <v>0.6623</v>
      </c>
      <c r="G118" s="1034">
        <f>ROUND(0.6299-0.0122*B113,4)</f>
        <v>0.58720000000000006</v>
      </c>
      <c r="H118" s="1034">
        <f>G118</f>
        <v>0.58720000000000006</v>
      </c>
      <c r="I118" s="1034">
        <f>ROUND(0.5667-0.0136*B113,4)</f>
        <v>0.51910000000000001</v>
      </c>
      <c r="J118" s="1034">
        <f t="shared" si="33"/>
        <v>0.51910000000000001</v>
      </c>
      <c r="K118" s="1034">
        <f t="shared" si="33"/>
        <v>0.51910000000000001</v>
      </c>
      <c r="L118" s="1034">
        <f t="shared" si="33"/>
        <v>0.51910000000000001</v>
      </c>
      <c r="M118" s="1035">
        <f t="shared" si="33"/>
        <v>0.51910000000000001</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8"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I16:O16 H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1" t="s">
        <v>2981</v>
      </c>
      <c r="B15" s="3058">
        <f>SUM(B6:B13)</f>
        <v>375</v>
      </c>
      <c r="C15" s="3058">
        <f t="shared" ref="C15:H15" si="0">SUM(C6:C13)</f>
        <v>375</v>
      </c>
      <c r="D15" s="3058">
        <f t="shared" si="0"/>
        <v>300</v>
      </c>
      <c r="E15" s="3058">
        <f t="shared" si="0"/>
        <v>300</v>
      </c>
      <c r="F15" s="3058">
        <f t="shared" si="0"/>
        <v>300</v>
      </c>
      <c r="G15" s="3058">
        <f t="shared" si="0"/>
        <v>300</v>
      </c>
      <c r="H15" s="3058">
        <f t="shared" si="0"/>
        <v>300</v>
      </c>
      <c r="I15" s="3058">
        <f>SUM(I6:I10,I13)</f>
        <v>155</v>
      </c>
      <c r="J15" s="3058">
        <f t="shared" ref="J15:M15" si="1">SUM(J6:J10,J13)</f>
        <v>155</v>
      </c>
      <c r="K15" s="3058">
        <f t="shared" si="1"/>
        <v>155</v>
      </c>
      <c r="L15" s="3058">
        <f t="shared" si="1"/>
        <v>155</v>
      </c>
      <c r="M15" s="3058">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4" customFormat="1" ht="19.5" customHeight="1">
      <c r="A18" s="3553" t="s">
        <v>1007</v>
      </c>
      <c r="B18" s="1150" t="s">
        <v>1446</v>
      </c>
      <c r="C18" s="1127" t="s">
        <v>1447</v>
      </c>
      <c r="D18" s="1128"/>
      <c r="E18" s="1150">
        <v>1</v>
      </c>
      <c r="F18" s="1129" t="s">
        <v>1448</v>
      </c>
      <c r="G18" s="1130"/>
      <c r="H18" s="1101"/>
      <c r="I18" s="1101"/>
    </row>
    <row r="19" spans="1:9" s="1584" customFormat="1" ht="19.5" customHeight="1">
      <c r="A19" s="3553"/>
      <c r="B19" s="3553" t="s">
        <v>1449</v>
      </c>
      <c r="C19" s="1127" t="s">
        <v>1450</v>
      </c>
      <c r="D19" s="1128"/>
      <c r="E19" s="1150">
        <v>0.9</v>
      </c>
      <c r="F19" s="1129" t="s">
        <v>1451</v>
      </c>
      <c r="G19" s="1130"/>
      <c r="H19" s="1101"/>
      <c r="I19" s="1101"/>
    </row>
    <row r="20" spans="1:9" s="1584" customFormat="1" ht="19.5" customHeight="1">
      <c r="A20" s="3553"/>
      <c r="B20" s="3553"/>
      <c r="C20" s="1127" t="s">
        <v>1452</v>
      </c>
      <c r="D20" s="1128"/>
      <c r="E20" s="1150">
        <v>1.1000000000000001</v>
      </c>
      <c r="F20" s="1129" t="s">
        <v>1453</v>
      </c>
      <c r="G20" s="1130"/>
      <c r="H20" s="1101"/>
      <c r="I20" s="1101"/>
    </row>
    <row r="21" spans="1:9" s="1584" customFormat="1" ht="19.5" customHeight="1">
      <c r="A21" s="3553"/>
      <c r="B21" s="3553"/>
      <c r="C21" s="1127" t="s">
        <v>1454</v>
      </c>
      <c r="D21" s="1128"/>
      <c r="E21" s="1150">
        <v>0.8</v>
      </c>
      <c r="F21" s="1129" t="s">
        <v>1455</v>
      </c>
      <c r="G21" s="1130"/>
      <c r="H21" s="1101"/>
      <c r="I21" s="1101"/>
    </row>
    <row r="22" spans="1:9" s="1584" customFormat="1" ht="19.5" customHeight="1">
      <c r="A22" s="3553"/>
      <c r="B22" s="3553"/>
      <c r="C22" s="1127" t="s">
        <v>1456</v>
      </c>
      <c r="D22" s="1128"/>
      <c r="E22" s="1150">
        <v>0.5</v>
      </c>
      <c r="F22" s="1129"/>
      <c r="G22" s="1130"/>
      <c r="H22" s="1101"/>
      <c r="I22" s="1101"/>
    </row>
    <row r="23" spans="1:9" s="1584" customFormat="1" ht="19.5" customHeight="1">
      <c r="A23" s="3553" t="s">
        <v>1029</v>
      </c>
      <c r="B23" s="1150" t="s">
        <v>1446</v>
      </c>
      <c r="C23" s="1127" t="s">
        <v>1457</v>
      </c>
      <c r="D23" s="1128"/>
      <c r="E23" s="1150">
        <v>1</v>
      </c>
      <c r="F23" s="1129" t="s">
        <v>1458</v>
      </c>
      <c r="G23" s="1130"/>
      <c r="H23" s="1101"/>
      <c r="I23" s="1101"/>
    </row>
    <row r="24" spans="1:9" s="1584" customFormat="1" ht="19.5" customHeight="1">
      <c r="A24" s="3553"/>
      <c r="B24" s="3553" t="s">
        <v>1449</v>
      </c>
      <c r="C24" s="1127" t="s">
        <v>1459</v>
      </c>
      <c r="D24" s="1128"/>
      <c r="E24" s="1150">
        <v>0.5</v>
      </c>
      <c r="F24" s="1129"/>
      <c r="G24" s="1130"/>
      <c r="H24" s="1101"/>
      <c r="I24" s="1101"/>
    </row>
    <row r="25" spans="1:9" s="1584" customFormat="1" ht="19.5" customHeight="1">
      <c r="A25" s="3553"/>
      <c r="B25" s="3553"/>
      <c r="C25" s="1127" t="s">
        <v>1460</v>
      </c>
      <c r="D25" s="1128"/>
      <c r="E25" s="1150">
        <v>1.1000000000000001</v>
      </c>
      <c r="F25" s="1129"/>
      <c r="G25" s="1130"/>
      <c r="H25" s="1101"/>
      <c r="I25" s="1101"/>
    </row>
    <row r="26" spans="1:9" s="1584" customFormat="1" ht="19.5" customHeight="1">
      <c r="A26" s="3553"/>
      <c r="B26" s="3553"/>
      <c r="C26" s="1127" t="s">
        <v>1461</v>
      </c>
      <c r="D26" s="1128"/>
      <c r="E26" s="1150">
        <v>1.1000000000000001</v>
      </c>
      <c r="F26" s="1129"/>
      <c r="G26" s="1130"/>
      <c r="H26" s="1101"/>
      <c r="I26" s="1101"/>
    </row>
    <row r="27" spans="1:9" s="1584" customFormat="1" ht="19.5" customHeight="1">
      <c r="A27" s="3553"/>
      <c r="B27" s="3553"/>
      <c r="C27" s="1127" t="s">
        <v>1462</v>
      </c>
      <c r="D27" s="1128"/>
      <c r="E27" s="1150">
        <v>0.9</v>
      </c>
      <c r="F27" s="1129" t="s">
        <v>1463</v>
      </c>
      <c r="G27" s="1130"/>
      <c r="H27" s="1101"/>
      <c r="I27" s="1101"/>
    </row>
    <row r="28" spans="1:9" s="1584" customFormat="1" ht="19.5" customHeight="1">
      <c r="A28" s="3553"/>
      <c r="B28" s="3553"/>
      <c r="C28" s="1127" t="s">
        <v>1464</v>
      </c>
      <c r="D28" s="1128"/>
      <c r="E28" s="1150">
        <v>0.9</v>
      </c>
      <c r="F28" s="1129" t="s">
        <v>1465</v>
      </c>
      <c r="G28" s="1130"/>
      <c r="H28" s="1101"/>
      <c r="I28" s="1101"/>
    </row>
    <row r="29" spans="1:9" s="1584" customFormat="1" ht="19.5" customHeight="1">
      <c r="A29" s="3553"/>
      <c r="B29" s="3553"/>
      <c r="C29" s="1127" t="s">
        <v>1466</v>
      </c>
      <c r="D29" s="1128"/>
      <c r="E29" s="1150">
        <v>0.9</v>
      </c>
      <c r="F29" s="1129" t="s">
        <v>1467</v>
      </c>
      <c r="G29" s="1130"/>
      <c r="H29" s="1101"/>
      <c r="I29" s="1101"/>
    </row>
    <row r="30" spans="1:9" s="1584" customFormat="1" ht="19.5" customHeight="1">
      <c r="A30" s="3553"/>
      <c r="B30" s="3553"/>
      <c r="C30" s="1127" t="s">
        <v>1468</v>
      </c>
      <c r="D30" s="1128"/>
      <c r="E30" s="1150">
        <v>0.9</v>
      </c>
      <c r="F30" s="1129" t="s">
        <v>1469</v>
      </c>
      <c r="G30" s="1130"/>
      <c r="H30" s="1101"/>
      <c r="I30" s="1101"/>
    </row>
    <row r="31" spans="1:9" s="1584" customFormat="1" ht="19.5" customHeight="1">
      <c r="A31" s="3553"/>
      <c r="B31" s="3553"/>
      <c r="C31" s="1127" t="s">
        <v>1470</v>
      </c>
      <c r="D31" s="1128"/>
      <c r="E31" s="1150">
        <v>0.8</v>
      </c>
      <c r="F31" s="1129" t="s">
        <v>1471</v>
      </c>
      <c r="G31" s="1130"/>
      <c r="H31" s="1101"/>
      <c r="I31" s="1101"/>
    </row>
    <row r="32" spans="1:9" s="1584" customFormat="1" ht="19.5" customHeight="1">
      <c r="A32" s="3553"/>
      <c r="B32" s="3553"/>
      <c r="C32" s="1127" t="s">
        <v>1472</v>
      </c>
      <c r="D32" s="1128"/>
      <c r="E32" s="1150">
        <v>0.8</v>
      </c>
      <c r="F32" s="1129" t="s">
        <v>1473</v>
      </c>
      <c r="G32" s="1130"/>
      <c r="H32" s="1101"/>
      <c r="I32" s="1101"/>
    </row>
    <row r="33" spans="1:9" s="1584" customFormat="1" ht="19.5" customHeight="1">
      <c r="A33" s="3553" t="s">
        <v>1474</v>
      </c>
      <c r="B33" s="1150" t="s">
        <v>1446</v>
      </c>
      <c r="C33" s="1127" t="s">
        <v>1475</v>
      </c>
      <c r="D33" s="1128"/>
      <c r="E33" s="1150">
        <v>1</v>
      </c>
      <c r="F33" s="1129" t="s">
        <v>1476</v>
      </c>
      <c r="G33" s="1130"/>
      <c r="H33" s="1101"/>
      <c r="I33" s="1101"/>
    </row>
    <row r="34" spans="1:9" s="1584" customFormat="1" ht="19.5" customHeight="1">
      <c r="A34" s="3553"/>
      <c r="B34" s="1150" t="s">
        <v>1449</v>
      </c>
      <c r="C34" s="1127" t="s">
        <v>1477</v>
      </c>
      <c r="D34" s="1128"/>
      <c r="E34" s="1150">
        <v>1.5</v>
      </c>
      <c r="F34" s="1129" t="s">
        <v>1478</v>
      </c>
      <c r="G34" s="1130"/>
      <c r="H34" s="1101"/>
      <c r="I34" s="1101"/>
    </row>
    <row r="35" spans="1:9" s="1584" customFormat="1" ht="19.5" customHeight="1">
      <c r="A35" s="3553" t="s">
        <v>1432</v>
      </c>
      <c r="B35" s="1150" t="s">
        <v>1446</v>
      </c>
      <c r="C35" s="1127" t="s">
        <v>1479</v>
      </c>
      <c r="D35" s="1128"/>
      <c r="E35" s="1150">
        <v>1</v>
      </c>
      <c r="F35" s="1129" t="s">
        <v>1480</v>
      </c>
      <c r="G35" s="1130"/>
      <c r="H35" s="1101"/>
      <c r="I35" s="1101"/>
    </row>
    <row r="36" spans="1:9" s="1584" customFormat="1" ht="19.5" customHeight="1">
      <c r="A36" s="3553"/>
      <c r="B36" s="3553" t="s">
        <v>1449</v>
      </c>
      <c r="C36" s="1127" t="s">
        <v>1481</v>
      </c>
      <c r="D36" s="1128"/>
      <c r="E36" s="1150">
        <v>1</v>
      </c>
      <c r="F36" s="1129" t="s">
        <v>1482</v>
      </c>
      <c r="G36" s="1130"/>
      <c r="H36" s="1101"/>
      <c r="I36" s="1101"/>
    </row>
    <row r="37" spans="1:9" s="1584" customFormat="1" ht="19.5" customHeight="1">
      <c r="A37" s="3553"/>
      <c r="B37" s="3553"/>
      <c r="C37" s="1127" t="s">
        <v>1483</v>
      </c>
      <c r="D37" s="1128"/>
      <c r="E37" s="1150">
        <v>1.5</v>
      </c>
      <c r="F37" s="1129" t="s">
        <v>1484</v>
      </c>
      <c r="G37" s="1130"/>
      <c r="H37" s="1101"/>
      <c r="I37" s="1101"/>
    </row>
    <row r="38" spans="1:9" s="1584" customFormat="1" ht="19.5" customHeight="1">
      <c r="A38" s="3553"/>
      <c r="B38" s="3553"/>
      <c r="C38" s="1127" t="s">
        <v>1485</v>
      </c>
      <c r="D38" s="1128"/>
      <c r="E38" s="1150">
        <v>1</v>
      </c>
      <c r="F38" s="1129" t="s">
        <v>1486</v>
      </c>
      <c r="G38" s="1130"/>
      <c r="H38" s="1101"/>
      <c r="I38" s="1101"/>
    </row>
    <row r="39" spans="1:9" s="1584" customFormat="1" ht="19.5" customHeight="1">
      <c r="A39" s="3553"/>
      <c r="B39" s="3553"/>
      <c r="C39" s="1127" t="s">
        <v>1487</v>
      </c>
      <c r="D39" s="1128"/>
      <c r="E39" s="1150">
        <v>1</v>
      </c>
      <c r="F39" s="1129" t="s">
        <v>1488</v>
      </c>
      <c r="G39" s="1130"/>
      <c r="H39" s="1101"/>
      <c r="I39" s="1101"/>
    </row>
    <row r="40" spans="1:9" s="1584" customFormat="1" ht="19.5" customHeight="1">
      <c r="A40" s="1585" t="s">
        <v>1489</v>
      </c>
      <c r="B40" s="1585"/>
      <c r="C40" s="1585"/>
      <c r="D40" s="1585"/>
      <c r="E40" s="1585"/>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36">
      <c r="A61" s="1150">
        <v>1</v>
      </c>
      <c r="B61" s="3553" t="s">
        <v>1501</v>
      </c>
      <c r="C61" s="1064" t="s">
        <v>1502</v>
      </c>
      <c r="D61" s="1064" t="s">
        <v>1503</v>
      </c>
      <c r="E61" s="1135">
        <v>0.5</v>
      </c>
      <c r="F61" s="1150">
        <v>80</v>
      </c>
      <c r="H61" s="1101">
        <f>SUMIF(C59:C119,基准地价!C8,E59:E119)</f>
        <v>0</v>
      </c>
    </row>
    <row r="62" spans="1:8" s="1101" customFormat="1" ht="36">
      <c r="A62" s="1150">
        <v>2</v>
      </c>
      <c r="B62" s="3553"/>
      <c r="C62" s="1064" t="s">
        <v>1504</v>
      </c>
      <c r="D62" s="1064" t="s">
        <v>1505</v>
      </c>
      <c r="E62" s="1135">
        <v>0.5</v>
      </c>
      <c r="F62" s="1150">
        <v>80</v>
      </c>
    </row>
    <row r="63" spans="1:8" s="1101" customFormat="1" ht="48">
      <c r="A63" s="1150">
        <v>3</v>
      </c>
      <c r="B63" s="3553"/>
      <c r="C63" s="1064" t="s">
        <v>1506</v>
      </c>
      <c r="D63" s="1064" t="s">
        <v>1507</v>
      </c>
      <c r="E63" s="1135">
        <v>0.5</v>
      </c>
      <c r="F63" s="1150">
        <v>80</v>
      </c>
    </row>
    <row r="64" spans="1:8" s="1101" customFormat="1" ht="48">
      <c r="A64" s="1150">
        <v>4</v>
      </c>
      <c r="B64" s="3553"/>
      <c r="C64" s="1064" t="s">
        <v>1508</v>
      </c>
      <c r="D64" s="1064" t="s">
        <v>1509</v>
      </c>
      <c r="E64" s="1135">
        <v>0.4</v>
      </c>
      <c r="F64" s="1150">
        <v>60</v>
      </c>
    </row>
    <row r="65" spans="1:6" s="1101" customFormat="1" ht="48">
      <c r="A65" s="1150">
        <v>5</v>
      </c>
      <c r="B65" s="3553"/>
      <c r="C65" s="1064" t="s">
        <v>1510</v>
      </c>
      <c r="D65" s="1064" t="s">
        <v>1511</v>
      </c>
      <c r="E65" s="1135">
        <v>0.2</v>
      </c>
      <c r="F65" s="1150">
        <v>30</v>
      </c>
    </row>
    <row r="66" spans="1:6" s="1101" customFormat="1" ht="48">
      <c r="A66" s="1150">
        <v>6</v>
      </c>
      <c r="B66" s="3553"/>
      <c r="C66" s="1064" t="s">
        <v>1512</v>
      </c>
      <c r="D66" s="1064" t="s">
        <v>1513</v>
      </c>
      <c r="E66" s="1135">
        <v>0.3</v>
      </c>
      <c r="F66" s="1150">
        <v>50</v>
      </c>
    </row>
    <row r="67" spans="1:6" s="1101" customFormat="1" ht="48">
      <c r="A67" s="1150">
        <v>7</v>
      </c>
      <c r="B67" s="3553"/>
      <c r="C67" s="1064" t="s">
        <v>1514</v>
      </c>
      <c r="D67" s="1064" t="s">
        <v>1515</v>
      </c>
      <c r="E67" s="1135">
        <v>0.2</v>
      </c>
      <c r="F67" s="1150">
        <v>30</v>
      </c>
    </row>
    <row r="68" spans="1:6" s="1101" customFormat="1" ht="48">
      <c r="A68" s="1150">
        <v>8</v>
      </c>
      <c r="B68" s="3553"/>
      <c r="C68" s="1064" t="s">
        <v>1516</v>
      </c>
      <c r="D68" s="1064" t="s">
        <v>1517</v>
      </c>
      <c r="E68" s="1135">
        <v>0.2</v>
      </c>
      <c r="F68" s="1150">
        <v>30</v>
      </c>
    </row>
    <row r="69" spans="1:6" s="1101" customFormat="1" ht="48">
      <c r="A69" s="1150">
        <v>9</v>
      </c>
      <c r="B69" s="3553"/>
      <c r="C69" s="1064" t="s">
        <v>1518</v>
      </c>
      <c r="D69" s="1064" t="s">
        <v>1519</v>
      </c>
      <c r="E69" s="1135">
        <v>0.2</v>
      </c>
      <c r="F69" s="1150">
        <v>30</v>
      </c>
    </row>
    <row r="70" spans="1:6" s="1101" customFormat="1" ht="60">
      <c r="A70" s="1150">
        <v>10</v>
      </c>
      <c r="B70" s="3553"/>
      <c r="C70" s="1064" t="s">
        <v>1520</v>
      </c>
      <c r="D70" s="1064" t="s">
        <v>1521</v>
      </c>
      <c r="E70" s="1135">
        <v>0.2</v>
      </c>
      <c r="F70" s="1150">
        <v>30</v>
      </c>
    </row>
    <row r="71" spans="1:6" s="1101" customFormat="1" ht="60">
      <c r="A71" s="1150">
        <v>11</v>
      </c>
      <c r="B71" s="3553"/>
      <c r="C71" s="1064" t="s">
        <v>1522</v>
      </c>
      <c r="D71" s="1064" t="s">
        <v>1523</v>
      </c>
      <c r="E71" s="1135">
        <v>0.2</v>
      </c>
      <c r="F71" s="1150">
        <v>30</v>
      </c>
    </row>
    <row r="72" spans="1:6" s="1101" customFormat="1" ht="36">
      <c r="A72" s="1150">
        <v>12</v>
      </c>
      <c r="B72" s="3553"/>
      <c r="C72" s="1064" t="s">
        <v>1524</v>
      </c>
      <c r="D72" s="1064" t="s">
        <v>1525</v>
      </c>
      <c r="E72" s="1135">
        <v>0.5</v>
      </c>
      <c r="F72" s="1150">
        <v>80</v>
      </c>
    </row>
    <row r="73" spans="1:6" s="1101" customFormat="1" ht="36">
      <c r="A73" s="1150">
        <v>13</v>
      </c>
      <c r="B73" s="3553"/>
      <c r="C73" s="1064" t="s">
        <v>1526</v>
      </c>
      <c r="D73" s="1064" t="s">
        <v>1527</v>
      </c>
      <c r="E73" s="1135">
        <v>0.4</v>
      </c>
      <c r="F73" s="1150">
        <v>60</v>
      </c>
    </row>
    <row r="74" spans="1:6" s="1101" customFormat="1" ht="36">
      <c r="A74" s="1150">
        <v>14</v>
      </c>
      <c r="B74" s="3553"/>
      <c r="C74" s="1064" t="s">
        <v>1528</v>
      </c>
      <c r="D74" s="1064" t="s">
        <v>1529</v>
      </c>
      <c r="E74" s="1135">
        <v>0.2</v>
      </c>
      <c r="F74" s="1150">
        <v>30</v>
      </c>
    </row>
    <row r="75" spans="1:6" s="1101" customFormat="1" ht="36">
      <c r="A75" s="1150">
        <v>15</v>
      </c>
      <c r="B75" s="3553"/>
      <c r="C75" s="1064" t="s">
        <v>1530</v>
      </c>
      <c r="D75" s="1064" t="s">
        <v>1531</v>
      </c>
      <c r="E75" s="1135">
        <v>0.2</v>
      </c>
      <c r="F75" s="1150">
        <v>30</v>
      </c>
    </row>
    <row r="76" spans="1:6" s="1101" customFormat="1" ht="36">
      <c r="A76" s="1150">
        <v>16</v>
      </c>
      <c r="B76" s="3553" t="s">
        <v>1532</v>
      </c>
      <c r="C76" s="1064" t="s">
        <v>1533</v>
      </c>
      <c r="D76" s="1064" t="s">
        <v>1534</v>
      </c>
      <c r="E76" s="1135">
        <v>0.5</v>
      </c>
      <c r="F76" s="1150">
        <v>80</v>
      </c>
    </row>
    <row r="77" spans="1:6" s="1101" customFormat="1" ht="36">
      <c r="A77" s="1150">
        <v>17</v>
      </c>
      <c r="B77" s="3553"/>
      <c r="C77" s="1064" t="s">
        <v>1535</v>
      </c>
      <c r="D77" s="1064" t="s">
        <v>1536</v>
      </c>
      <c r="E77" s="1135">
        <v>0.5</v>
      </c>
      <c r="F77" s="1150">
        <v>80</v>
      </c>
    </row>
    <row r="78" spans="1:6" s="1101" customFormat="1" ht="36">
      <c r="A78" s="1150">
        <v>18</v>
      </c>
      <c r="B78" s="3553"/>
      <c r="C78" s="1064" t="s">
        <v>1537</v>
      </c>
      <c r="D78" s="1064" t="s">
        <v>1538</v>
      </c>
      <c r="E78" s="1135">
        <v>0.2</v>
      </c>
      <c r="F78" s="1150">
        <v>30</v>
      </c>
    </row>
    <row r="79" spans="1:6" s="1101" customFormat="1" ht="36">
      <c r="A79" s="1150">
        <v>19</v>
      </c>
      <c r="B79" s="3553"/>
      <c r="C79" s="1064" t="s">
        <v>1539</v>
      </c>
      <c r="D79" s="1064" t="s">
        <v>1540</v>
      </c>
      <c r="E79" s="1135">
        <v>0.5</v>
      </c>
      <c r="F79" s="1150">
        <v>80</v>
      </c>
    </row>
    <row r="80" spans="1:6" s="1101" customFormat="1" ht="36">
      <c r="A80" s="1150">
        <v>20</v>
      </c>
      <c r="B80" s="3553"/>
      <c r="C80" s="1064" t="s">
        <v>1541</v>
      </c>
      <c r="D80" s="1064" t="s">
        <v>1542</v>
      </c>
      <c r="E80" s="1135">
        <v>0.2</v>
      </c>
      <c r="F80" s="1150">
        <v>30</v>
      </c>
    </row>
    <row r="81" spans="1:6" s="1101" customFormat="1" ht="36">
      <c r="A81" s="1150">
        <v>21</v>
      </c>
      <c r="B81" s="3553"/>
      <c r="C81" s="1064" t="s">
        <v>1543</v>
      </c>
      <c r="D81" s="1064" t="s">
        <v>1544</v>
      </c>
      <c r="E81" s="1135">
        <v>0.2</v>
      </c>
      <c r="F81" s="1150">
        <v>30</v>
      </c>
    </row>
    <row r="82" spans="1:6" s="1101" customFormat="1" ht="60">
      <c r="A82" s="1150">
        <v>22</v>
      </c>
      <c r="B82" s="3553"/>
      <c r="C82" s="1064" t="s">
        <v>1545</v>
      </c>
      <c r="D82" s="1064" t="s">
        <v>1546</v>
      </c>
      <c r="E82" s="1135">
        <v>0.2</v>
      </c>
      <c r="F82" s="1150">
        <v>30</v>
      </c>
    </row>
    <row r="83" spans="1:6" s="1101" customFormat="1" ht="60">
      <c r="A83" s="1150">
        <v>23</v>
      </c>
      <c r="B83" s="3553"/>
      <c r="C83" s="1064" t="s">
        <v>1547</v>
      </c>
      <c r="D83" s="1064" t="s">
        <v>1548</v>
      </c>
      <c r="E83" s="1135">
        <v>0.2</v>
      </c>
      <c r="F83" s="1150">
        <v>30</v>
      </c>
    </row>
    <row r="84" spans="1:6" s="1101" customFormat="1" ht="48">
      <c r="A84" s="1150">
        <v>24</v>
      </c>
      <c r="B84" s="3553"/>
      <c r="C84" s="1064" t="s">
        <v>1549</v>
      </c>
      <c r="D84" s="1064" t="s">
        <v>1550</v>
      </c>
      <c r="E84" s="1135">
        <v>0.2</v>
      </c>
      <c r="F84" s="1150">
        <v>30</v>
      </c>
    </row>
    <row r="85" spans="1:6" s="1101" customFormat="1" ht="36">
      <c r="A85" s="1150">
        <v>25</v>
      </c>
      <c r="B85" s="3553"/>
      <c r="C85" s="1064" t="s">
        <v>1551</v>
      </c>
      <c r="D85" s="1064" t="s">
        <v>1552</v>
      </c>
      <c r="E85" s="1135">
        <v>0.5</v>
      </c>
      <c r="F85" s="1150">
        <v>80</v>
      </c>
    </row>
    <row r="86" spans="1:6" s="1101" customFormat="1" ht="36">
      <c r="A86" s="1150">
        <v>26</v>
      </c>
      <c r="B86" s="3553"/>
      <c r="C86" s="1064" t="s">
        <v>1553</v>
      </c>
      <c r="D86" s="1064" t="s">
        <v>1554</v>
      </c>
      <c r="E86" s="1135">
        <v>0.2</v>
      </c>
      <c r="F86" s="1150">
        <v>30</v>
      </c>
    </row>
    <row r="87" spans="1:6" s="1101" customFormat="1" ht="36">
      <c r="A87" s="1150">
        <v>27</v>
      </c>
      <c r="B87" s="3553"/>
      <c r="C87" s="1064" t="s">
        <v>1555</v>
      </c>
      <c r="D87" s="1064" t="s">
        <v>1556</v>
      </c>
      <c r="E87" s="1135">
        <v>0.2</v>
      </c>
      <c r="F87" s="1150">
        <v>30</v>
      </c>
    </row>
    <row r="88" spans="1:6" s="1101" customFormat="1" ht="36">
      <c r="A88" s="1150">
        <v>28</v>
      </c>
      <c r="B88" s="3553"/>
      <c r="C88" s="1064" t="s">
        <v>1557</v>
      </c>
      <c r="D88" s="1064" t="s">
        <v>1558</v>
      </c>
      <c r="E88" s="1135">
        <v>0.2</v>
      </c>
      <c r="F88" s="1150">
        <v>30</v>
      </c>
    </row>
    <row r="89" spans="1:6" s="1101" customFormat="1" ht="36">
      <c r="A89" s="1150">
        <v>29</v>
      </c>
      <c r="B89" s="3553"/>
      <c r="C89" s="1064" t="s">
        <v>1559</v>
      </c>
      <c r="D89" s="1064" t="s">
        <v>1560</v>
      </c>
      <c r="E89" s="1135">
        <v>0.2</v>
      </c>
      <c r="F89" s="1150">
        <v>30</v>
      </c>
    </row>
    <row r="90" spans="1:6" s="1101" customFormat="1" ht="36">
      <c r="A90" s="1150">
        <v>30</v>
      </c>
      <c r="B90" s="3553"/>
      <c r="C90" s="1064" t="s">
        <v>1561</v>
      </c>
      <c r="D90" s="1064" t="s">
        <v>1562</v>
      </c>
      <c r="E90" s="1135">
        <v>0.2</v>
      </c>
      <c r="F90" s="1150">
        <v>30</v>
      </c>
    </row>
    <row r="91" spans="1:6" s="1101" customFormat="1" ht="48">
      <c r="A91" s="1150">
        <v>31</v>
      </c>
      <c r="B91" s="3553"/>
      <c r="C91" s="1064" t="s">
        <v>1563</v>
      </c>
      <c r="D91" s="1064" t="s">
        <v>1564</v>
      </c>
      <c r="E91" s="1135">
        <v>0.2</v>
      </c>
      <c r="F91" s="1150">
        <v>30</v>
      </c>
    </row>
    <row r="92" spans="1:6" s="1101" customFormat="1" ht="36">
      <c r="A92" s="1150">
        <v>32</v>
      </c>
      <c r="B92" s="3553" t="s">
        <v>1565</v>
      </c>
      <c r="C92" s="1150" t="s">
        <v>1566</v>
      </c>
      <c r="D92" s="1064" t="s">
        <v>1567</v>
      </c>
      <c r="E92" s="1135">
        <v>0.2</v>
      </c>
      <c r="F92" s="1150">
        <v>30</v>
      </c>
    </row>
    <row r="93" spans="1:6" s="1101" customFormat="1" ht="36">
      <c r="A93" s="1150">
        <v>33</v>
      </c>
      <c r="B93" s="3553"/>
      <c r="C93" s="1150" t="s">
        <v>1568</v>
      </c>
      <c r="D93" s="1064" t="s">
        <v>1569</v>
      </c>
      <c r="E93" s="1135">
        <v>0.2</v>
      </c>
      <c r="F93" s="1150">
        <v>30</v>
      </c>
    </row>
    <row r="94" spans="1:6" s="1101" customFormat="1" ht="60">
      <c r="A94" s="1150">
        <v>34</v>
      </c>
      <c r="B94" s="3553"/>
      <c r="C94" s="1150" t="s">
        <v>1570</v>
      </c>
      <c r="D94" s="1064" t="s">
        <v>1571</v>
      </c>
      <c r="E94" s="1135">
        <v>0.2</v>
      </c>
      <c r="F94" s="1150">
        <v>30</v>
      </c>
    </row>
    <row r="95" spans="1:6" s="1101" customFormat="1" ht="48">
      <c r="A95" s="1150">
        <v>35</v>
      </c>
      <c r="B95" s="3553"/>
      <c r="C95" s="1150" t="s">
        <v>1572</v>
      </c>
      <c r="D95" s="1064" t="s">
        <v>1573</v>
      </c>
      <c r="E95" s="1135">
        <v>0.2</v>
      </c>
      <c r="F95" s="1150">
        <v>30</v>
      </c>
    </row>
    <row r="96" spans="1:6" s="1101" customFormat="1" ht="72">
      <c r="A96" s="1150">
        <v>36</v>
      </c>
      <c r="B96" s="3553"/>
      <c r="C96" s="1064" t="s">
        <v>1574</v>
      </c>
      <c r="D96" s="1064" t="s">
        <v>1575</v>
      </c>
      <c r="E96" s="1135">
        <v>0.2</v>
      </c>
      <c r="F96" s="1150">
        <v>30</v>
      </c>
    </row>
    <row r="97" spans="1:6" s="1101" customFormat="1" ht="36">
      <c r="A97" s="1150">
        <v>37</v>
      </c>
      <c r="B97" s="3553"/>
      <c r="C97" s="1150" t="s">
        <v>1576</v>
      </c>
      <c r="D97" s="1064" t="s">
        <v>1577</v>
      </c>
      <c r="E97" s="1135">
        <v>0.2</v>
      </c>
      <c r="F97" s="1150">
        <v>30</v>
      </c>
    </row>
    <row r="98" spans="1:6" s="1101" customFormat="1" ht="36">
      <c r="A98" s="1150">
        <v>38</v>
      </c>
      <c r="B98" s="3553"/>
      <c r="C98" s="1150" t="s">
        <v>1578</v>
      </c>
      <c r="D98" s="1064" t="s">
        <v>1579</v>
      </c>
      <c r="E98" s="1135">
        <v>0.2</v>
      </c>
      <c r="F98" s="1150">
        <v>30</v>
      </c>
    </row>
    <row r="99" spans="1:6" s="1101" customFormat="1" ht="36">
      <c r="A99" s="1150">
        <v>39</v>
      </c>
      <c r="B99" s="3553" t="s">
        <v>1580</v>
      </c>
      <c r="C99" s="1150" t="s">
        <v>1581</v>
      </c>
      <c r="D99" s="1064" t="s">
        <v>1582</v>
      </c>
      <c r="E99" s="1135">
        <v>0.3</v>
      </c>
      <c r="F99" s="1150">
        <v>50</v>
      </c>
    </row>
    <row r="100" spans="1:6" s="1101" customFormat="1" ht="36">
      <c r="A100" s="1150">
        <v>40</v>
      </c>
      <c r="B100" s="3553"/>
      <c r="C100" s="1150" t="s">
        <v>1583</v>
      </c>
      <c r="D100" s="1064" t="s">
        <v>1584</v>
      </c>
      <c r="E100" s="1135">
        <v>0.2</v>
      </c>
      <c r="F100" s="1150">
        <v>30</v>
      </c>
    </row>
    <row r="101" spans="1:6" s="1101" customFormat="1" ht="36">
      <c r="A101" s="1150">
        <v>41</v>
      </c>
      <c r="B101" s="3553"/>
      <c r="C101" s="1150" t="s">
        <v>1585</v>
      </c>
      <c r="D101" s="1064" t="s">
        <v>1582</v>
      </c>
      <c r="E101" s="1135">
        <v>0.2</v>
      </c>
      <c r="F101" s="1150">
        <v>30</v>
      </c>
    </row>
    <row r="102" spans="1:6" s="1101" customFormat="1" ht="72">
      <c r="A102" s="1150">
        <v>42</v>
      </c>
      <c r="B102" s="1150" t="s">
        <v>1586</v>
      </c>
      <c r="C102" s="1064" t="s">
        <v>1587</v>
      </c>
      <c r="D102" s="1064" t="s">
        <v>1588</v>
      </c>
      <c r="E102" s="1135">
        <v>0.2</v>
      </c>
      <c r="F102" s="1150">
        <v>30</v>
      </c>
    </row>
    <row r="103" spans="1:6" s="1101" customFormat="1" ht="36">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48">
      <c r="A105" s="1150">
        <v>45</v>
      </c>
      <c r="B105" s="3553" t="s">
        <v>1595</v>
      </c>
      <c r="C105" s="1150" t="s">
        <v>1596</v>
      </c>
      <c r="D105" s="1064" t="s">
        <v>1597</v>
      </c>
      <c r="E105" s="1135">
        <v>0.2</v>
      </c>
      <c r="F105" s="1150">
        <v>30</v>
      </c>
    </row>
    <row r="106" spans="1:6" s="1101" customFormat="1" ht="48">
      <c r="A106" s="1150">
        <v>46</v>
      </c>
      <c r="B106" s="3553"/>
      <c r="C106" s="1150" t="s">
        <v>1598</v>
      </c>
      <c r="D106" s="1064" t="s">
        <v>1599</v>
      </c>
      <c r="E106" s="1135">
        <v>0.2</v>
      </c>
      <c r="F106" s="1150">
        <v>30</v>
      </c>
    </row>
    <row r="107" spans="1:6" s="1101" customFormat="1" ht="36">
      <c r="A107" s="1150">
        <v>47</v>
      </c>
      <c r="B107" s="3553" t="s">
        <v>1600</v>
      </c>
      <c r="C107" s="1150" t="s">
        <v>1601</v>
      </c>
      <c r="D107" s="1064" t="s">
        <v>1602</v>
      </c>
      <c r="E107" s="1135">
        <v>0.3</v>
      </c>
      <c r="F107" s="1150">
        <v>50</v>
      </c>
    </row>
    <row r="108" spans="1:6" s="1101" customFormat="1" ht="48">
      <c r="A108" s="1150">
        <v>48</v>
      </c>
      <c r="B108" s="3553"/>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48">
      <c r="A110" s="1150">
        <v>50</v>
      </c>
      <c r="B110" s="1150" t="s">
        <v>1608</v>
      </c>
      <c r="C110" s="1150" t="s">
        <v>1609</v>
      </c>
      <c r="D110" s="1064" t="s">
        <v>1610</v>
      </c>
      <c r="E110" s="1135">
        <v>0.2</v>
      </c>
      <c r="F110" s="1150">
        <v>30</v>
      </c>
    </row>
    <row r="111" spans="1:6" s="1101" customFormat="1" ht="48">
      <c r="A111" s="1150">
        <v>51</v>
      </c>
      <c r="B111" s="3553" t="s">
        <v>1611</v>
      </c>
      <c r="C111" s="1150" t="s">
        <v>1612</v>
      </c>
      <c r="D111" s="1064" t="s">
        <v>1613</v>
      </c>
      <c r="E111" s="1135">
        <v>0.2</v>
      </c>
      <c r="F111" s="1150">
        <v>30</v>
      </c>
    </row>
    <row r="112" spans="1:6" s="1101" customFormat="1" ht="36">
      <c r="A112" s="1150">
        <v>52</v>
      </c>
      <c r="B112" s="3553"/>
      <c r="C112" s="1150" t="s">
        <v>1614</v>
      </c>
      <c r="D112" s="1064" t="s">
        <v>1615</v>
      </c>
      <c r="E112" s="1135">
        <v>0.2</v>
      </c>
      <c r="F112" s="1150">
        <v>30</v>
      </c>
    </row>
    <row r="113" spans="1:14" s="1101" customFormat="1" ht="36">
      <c r="A113" s="1150">
        <v>53</v>
      </c>
      <c r="B113" s="3553"/>
      <c r="C113" s="1150" t="s">
        <v>1616</v>
      </c>
      <c r="D113" s="1064" t="s">
        <v>1617</v>
      </c>
      <c r="E113" s="1135">
        <v>0.2</v>
      </c>
      <c r="F113" s="1150">
        <v>30</v>
      </c>
    </row>
    <row r="114" spans="1:14" ht="48">
      <c r="A114" s="1150">
        <v>54</v>
      </c>
      <c r="B114" s="1150" t="s">
        <v>1618</v>
      </c>
      <c r="C114" s="1150" t="s">
        <v>1619</v>
      </c>
      <c r="D114" s="1064" t="s">
        <v>1620</v>
      </c>
      <c r="E114" s="1135">
        <v>0.2</v>
      </c>
      <c r="F114" s="1150">
        <v>30</v>
      </c>
    </row>
    <row r="115" spans="1:14" ht="36">
      <c r="A115" s="1150">
        <v>55</v>
      </c>
      <c r="B115" s="1150" t="s">
        <v>1621</v>
      </c>
      <c r="C115" s="1150" t="s">
        <v>1622</v>
      </c>
      <c r="D115" s="1064" t="s">
        <v>1623</v>
      </c>
      <c r="E115" s="1135">
        <v>0.2</v>
      </c>
      <c r="F115" s="1150">
        <v>30</v>
      </c>
    </row>
    <row r="116" spans="1:14" ht="36">
      <c r="A116" s="1150">
        <v>56</v>
      </c>
      <c r="B116" s="3553" t="s">
        <v>1624</v>
      </c>
      <c r="C116" s="1150" t="s">
        <v>1625</v>
      </c>
      <c r="D116" s="1064" t="s">
        <v>1626</v>
      </c>
      <c r="E116" s="1135">
        <v>0.2</v>
      </c>
      <c r="F116" s="1150">
        <v>30</v>
      </c>
    </row>
    <row r="117" spans="1:14" ht="36">
      <c r="A117" s="1150">
        <v>57</v>
      </c>
      <c r="B117" s="3553"/>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4.4">
      <c r="A119" s="1150"/>
      <c r="B119" s="1150"/>
      <c r="C119" s="1150"/>
      <c r="D119" s="1150"/>
      <c r="E119" s="1135"/>
      <c r="F119" s="1150"/>
    </row>
    <row r="121" spans="1:14" ht="19.5" customHeight="1">
      <c r="A121" s="3552" t="s">
        <v>1633</v>
      </c>
      <c r="B121" s="3552"/>
      <c r="C121" s="3552"/>
      <c r="D121" s="3552"/>
      <c r="E121" s="3552"/>
      <c r="F121" s="3552"/>
      <c r="G121" s="3552"/>
      <c r="H121" s="3552"/>
      <c r="I121" s="3552"/>
      <c r="J121" s="3552"/>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9"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567" t="s">
        <v>1039</v>
      </c>
      <c r="B1" s="3567"/>
      <c r="C1" s="3567"/>
      <c r="D1" s="3567"/>
      <c r="E1" s="3567"/>
      <c r="F1" s="3567"/>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5" thickBot="1">
      <c r="A2" s="3568" t="s">
        <v>1052</v>
      </c>
      <c r="B2" s="3568"/>
      <c r="C2" s="3568"/>
      <c r="D2" s="3568"/>
      <c r="E2" s="3568"/>
      <c r="F2" s="3568"/>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569"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570"/>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2419</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2420</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9"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9"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4.4"/>
  <cols>
    <col min="1" max="1" width="12.6640625" style="1863" customWidth="1"/>
    <col min="2" max="2" width="10.21875" style="1864" customWidth="1"/>
  </cols>
  <sheetData>
    <row r="1" spans="1:6">
      <c r="A1" s="3571" t="s">
        <v>2076</v>
      </c>
      <c r="B1" s="3571"/>
    </row>
    <row r="2" spans="1:6" ht="15" thickBot="1">
      <c r="A2" s="1834"/>
      <c r="B2" s="1834"/>
    </row>
    <row r="3" spans="1:6" ht="15" thickBot="1">
      <c r="A3" s="1834"/>
      <c r="B3" s="1834"/>
      <c r="C3" s="1835" t="s">
        <v>2077</v>
      </c>
      <c r="D3" s="1835" t="s">
        <v>2078</v>
      </c>
      <c r="E3" s="1835" t="s">
        <v>2079</v>
      </c>
      <c r="F3" s="1835" t="s">
        <v>2080</v>
      </c>
    </row>
    <row r="4" spans="1:6" ht="15" thickBot="1">
      <c r="A4" s="1836" t="s">
        <v>2081</v>
      </c>
      <c r="B4" s="1837" t="s">
        <v>2082</v>
      </c>
      <c r="C4" s="1835"/>
      <c r="D4" s="1835"/>
      <c r="E4" s="1835"/>
      <c r="F4" s="1835"/>
    </row>
    <row r="5" spans="1:6" ht="15" thickBot="1">
      <c r="A5" s="1838" t="s">
        <v>2083</v>
      </c>
      <c r="B5" s="1839" t="s">
        <v>2084</v>
      </c>
      <c r="C5" s="1840">
        <v>8.8999999999999996E-2</v>
      </c>
      <c r="D5" s="1840">
        <v>7.3999999999999996E-2</v>
      </c>
      <c r="E5" s="1840">
        <v>7.4999999999999997E-2</v>
      </c>
      <c r="F5" s="1841">
        <v>0.1</v>
      </c>
    </row>
    <row r="6" spans="1:6" ht="15" thickBot="1">
      <c r="A6" s="1838" t="s">
        <v>1096</v>
      </c>
      <c r="B6" s="1842" t="s">
        <v>2085</v>
      </c>
      <c r="C6" s="1843">
        <v>0.1</v>
      </c>
      <c r="D6" s="1843">
        <v>9.0999999999999998E-2</v>
      </c>
      <c r="E6" s="1843">
        <v>9.0999999999999998E-2</v>
      </c>
      <c r="F6" s="1844">
        <v>0.1</v>
      </c>
    </row>
    <row r="7" spans="1:6" ht="15" thickBot="1">
      <c r="A7" s="1838" t="s">
        <v>1096</v>
      </c>
      <c r="B7" s="1845" t="s">
        <v>1084</v>
      </c>
      <c r="C7" s="1843">
        <v>8.5999999999999993E-2</v>
      </c>
      <c r="D7" s="1843">
        <v>9.6000000000000002E-2</v>
      </c>
      <c r="E7" s="1843">
        <v>7.5999999999999998E-2</v>
      </c>
      <c r="F7" s="1844">
        <v>0.1</v>
      </c>
    </row>
    <row r="8" spans="1:6" ht="15" thickBot="1">
      <c r="A8" s="1838" t="s">
        <v>1096</v>
      </c>
      <c r="B8" s="1842" t="s">
        <v>1097</v>
      </c>
      <c r="C8" s="1843">
        <v>9.9000000000000005E-2</v>
      </c>
      <c r="D8" s="1843">
        <v>9.8000000000000004E-2</v>
      </c>
      <c r="E8" s="1843">
        <v>9.8000000000000004E-2</v>
      </c>
      <c r="F8" s="1844">
        <v>0.1</v>
      </c>
    </row>
    <row r="9" spans="1:6" ht="15" thickBot="1">
      <c r="A9" s="1846" t="s">
        <v>1096</v>
      </c>
      <c r="B9" s="1847" t="s">
        <v>1111</v>
      </c>
      <c r="C9" s="1848">
        <v>0.05</v>
      </c>
      <c r="D9" s="1849"/>
      <c r="E9" s="1849"/>
      <c r="F9" s="1850"/>
    </row>
    <row r="10" spans="1:6" ht="15" thickBot="1">
      <c r="A10" s="1838" t="s">
        <v>1155</v>
      </c>
      <c r="B10" s="1839" t="s">
        <v>2086</v>
      </c>
      <c r="C10" s="1840">
        <v>8.8999999999999996E-2</v>
      </c>
      <c r="D10" s="1840">
        <v>7.2999999999999995E-2</v>
      </c>
      <c r="E10" s="1840">
        <v>8.2000000000000003E-2</v>
      </c>
      <c r="F10" s="1841">
        <v>0.1</v>
      </c>
    </row>
    <row r="11" spans="1:6" ht="15" thickBot="1">
      <c r="A11" s="1838" t="s">
        <v>1155</v>
      </c>
      <c r="B11" s="1845" t="s">
        <v>1071</v>
      </c>
      <c r="C11" s="1843">
        <v>8.8999999999999996E-2</v>
      </c>
      <c r="D11" s="1843">
        <v>7.2999999999999995E-2</v>
      </c>
      <c r="E11" s="1843">
        <v>8.2000000000000003E-2</v>
      </c>
      <c r="F11" s="1844">
        <v>0.1</v>
      </c>
    </row>
    <row r="12" spans="1:6" ht="15" thickBot="1">
      <c r="A12" s="1838" t="s">
        <v>1155</v>
      </c>
      <c r="B12" s="1845" t="s">
        <v>1085</v>
      </c>
      <c r="C12" s="1843">
        <v>6.0999999999999999E-2</v>
      </c>
      <c r="D12" s="1843">
        <v>7.0999999999999994E-2</v>
      </c>
      <c r="E12" s="1843">
        <v>9.6000000000000002E-2</v>
      </c>
      <c r="F12" s="1844">
        <v>0.1</v>
      </c>
    </row>
    <row r="13" spans="1:6" ht="15" thickBot="1">
      <c r="A13" s="1838" t="s">
        <v>1155</v>
      </c>
      <c r="B13" s="1845" t="s">
        <v>1098</v>
      </c>
      <c r="C13" s="1843">
        <v>6.9000000000000006E-2</v>
      </c>
      <c r="D13" s="1843">
        <v>6.5000000000000002E-2</v>
      </c>
      <c r="E13" s="1843">
        <v>6.6000000000000003E-2</v>
      </c>
      <c r="F13" s="1844">
        <v>0.1</v>
      </c>
    </row>
    <row r="14" spans="1:6" ht="15" thickBot="1">
      <c r="A14" s="1838" t="s">
        <v>1155</v>
      </c>
      <c r="B14" s="1845" t="s">
        <v>1112</v>
      </c>
      <c r="C14" s="1843">
        <v>0.1</v>
      </c>
      <c r="D14" s="1843">
        <v>6.5000000000000002E-2</v>
      </c>
      <c r="E14" s="1843">
        <v>7.0000000000000007E-2</v>
      </c>
      <c r="F14" s="1844">
        <v>0.1</v>
      </c>
    </row>
    <row r="15" spans="1:6" ht="15" thickBot="1">
      <c r="A15" s="1838" t="s">
        <v>1155</v>
      </c>
      <c r="B15" s="1845" t="s">
        <v>1123</v>
      </c>
      <c r="C15" s="1843">
        <v>9.8000000000000004E-2</v>
      </c>
      <c r="D15" s="1843">
        <v>8.8999999999999996E-2</v>
      </c>
      <c r="E15" s="1843">
        <v>8.8999999999999996E-2</v>
      </c>
      <c r="F15" s="1844">
        <v>0.1</v>
      </c>
    </row>
    <row r="16" spans="1:6" ht="15" thickBot="1">
      <c r="A16" s="1838" t="s">
        <v>1155</v>
      </c>
      <c r="B16" s="1845" t="s">
        <v>1134</v>
      </c>
      <c r="C16" s="1843">
        <v>7.0000000000000007E-2</v>
      </c>
      <c r="D16" s="1843">
        <v>9.2999999999999999E-2</v>
      </c>
      <c r="E16" s="1843">
        <v>9.6000000000000002E-2</v>
      </c>
      <c r="F16" s="1844">
        <v>0.1</v>
      </c>
    </row>
    <row r="17" spans="1:6" ht="15" thickBot="1">
      <c r="A17" s="1838" t="s">
        <v>1155</v>
      </c>
      <c r="B17" s="1845" t="s">
        <v>1145</v>
      </c>
      <c r="C17" s="1843">
        <v>9.5000000000000001E-2</v>
      </c>
      <c r="D17" s="1843">
        <v>0.1</v>
      </c>
      <c r="E17" s="1843">
        <v>0.1</v>
      </c>
      <c r="F17" s="1851"/>
    </row>
    <row r="18" spans="1:6" ht="15" thickBot="1">
      <c r="A18" s="1838" t="s">
        <v>1155</v>
      </c>
      <c r="B18" s="1845" t="s">
        <v>1157</v>
      </c>
      <c r="C18" s="1843">
        <v>7.3999999999999996E-2</v>
      </c>
      <c r="D18" s="1843">
        <v>9.9000000000000005E-2</v>
      </c>
      <c r="E18" s="1843">
        <v>0.1</v>
      </c>
      <c r="F18" s="1851"/>
    </row>
    <row r="19" spans="1:6" ht="15" thickBot="1">
      <c r="A19" s="1838" t="s">
        <v>1155</v>
      </c>
      <c r="B19" s="1845" t="s">
        <v>1167</v>
      </c>
      <c r="C19" s="1843">
        <v>9.9000000000000005E-2</v>
      </c>
      <c r="D19" s="1843">
        <v>7.5999999999999998E-2</v>
      </c>
      <c r="E19" s="1843">
        <v>8.6999999999999994E-2</v>
      </c>
      <c r="F19" s="1851"/>
    </row>
    <row r="20" spans="1:6" ht="15" thickBot="1">
      <c r="A20" s="1838" t="s">
        <v>1155</v>
      </c>
      <c r="B20" s="1845" t="s">
        <v>1177</v>
      </c>
      <c r="C20" s="1843">
        <v>9.8000000000000004E-2</v>
      </c>
      <c r="D20" s="1843">
        <v>8.5000000000000006E-2</v>
      </c>
      <c r="E20" s="1843">
        <v>8.2000000000000003E-2</v>
      </c>
      <c r="F20" s="1851"/>
    </row>
    <row r="21" spans="1:6" ht="15" thickBot="1">
      <c r="A21" s="1838" t="s">
        <v>1155</v>
      </c>
      <c r="B21" s="1845" t="s">
        <v>1187</v>
      </c>
      <c r="C21" s="1843">
        <v>6.6000000000000003E-2</v>
      </c>
      <c r="D21" s="1843">
        <v>6.4000000000000001E-2</v>
      </c>
      <c r="E21" s="1843">
        <v>6.5000000000000002E-2</v>
      </c>
      <c r="F21" s="1851"/>
    </row>
    <row r="22" spans="1:6" ht="15" thickBot="1">
      <c r="A22" s="1838" t="s">
        <v>1155</v>
      </c>
      <c r="B22" s="1845" t="s">
        <v>2087</v>
      </c>
      <c r="C22" s="1843">
        <v>0.08</v>
      </c>
      <c r="D22" s="1843">
        <v>9.8000000000000004E-2</v>
      </c>
      <c r="E22" s="1843">
        <v>9.8000000000000004E-2</v>
      </c>
      <c r="F22" s="1851"/>
    </row>
    <row r="23" spans="1:6" ht="15" thickBot="1">
      <c r="A23" s="1838" t="s">
        <v>1155</v>
      </c>
      <c r="B23" s="1845" t="s">
        <v>1207</v>
      </c>
      <c r="C23" s="1843">
        <v>9.9000000000000005E-2</v>
      </c>
      <c r="D23" s="1843">
        <v>9.8000000000000004E-2</v>
      </c>
      <c r="E23" s="1843">
        <v>9.0999999999999998E-2</v>
      </c>
      <c r="F23" s="1851"/>
    </row>
    <row r="24" spans="1:6" ht="15" thickBot="1">
      <c r="A24" s="1838" t="s">
        <v>1155</v>
      </c>
      <c r="B24" s="1845" t="s">
        <v>1217</v>
      </c>
      <c r="C24" s="1843">
        <v>8.8999999999999996E-2</v>
      </c>
      <c r="D24" s="1843">
        <v>9.7000000000000003E-2</v>
      </c>
      <c r="E24" s="1843">
        <v>7.0000000000000007E-2</v>
      </c>
      <c r="F24" s="1851"/>
    </row>
    <row r="25" spans="1:6" ht="15" thickBot="1">
      <c r="A25" s="1838" t="s">
        <v>1155</v>
      </c>
      <c r="B25" s="1845" t="s">
        <v>1227</v>
      </c>
      <c r="C25" s="1843">
        <v>8.8999999999999996E-2</v>
      </c>
      <c r="D25" s="1843">
        <v>0.1</v>
      </c>
      <c r="E25" s="1843">
        <v>8.1000000000000003E-2</v>
      </c>
      <c r="F25" s="1851"/>
    </row>
    <row r="26" spans="1:6" ht="15" thickBot="1">
      <c r="A26" s="1838" t="s">
        <v>1155</v>
      </c>
      <c r="B26" s="1845" t="s">
        <v>1237</v>
      </c>
      <c r="C26" s="1852"/>
      <c r="D26" s="1843">
        <v>9.6000000000000002E-2</v>
      </c>
      <c r="E26" s="1843">
        <v>9.2999999999999999E-2</v>
      </c>
      <c r="F26" s="1851"/>
    </row>
    <row r="27" spans="1:6" ht="15" thickBot="1">
      <c r="A27" s="1838" t="s">
        <v>1155</v>
      </c>
      <c r="B27" s="1845" t="s">
        <v>1247</v>
      </c>
      <c r="C27" s="1852"/>
      <c r="D27" s="1843">
        <v>7.5999999999999998E-2</v>
      </c>
      <c r="E27" s="1843">
        <v>9.1999999999999998E-2</v>
      </c>
      <c r="F27" s="1851"/>
    </row>
    <row r="28" spans="1:6" ht="15" thickBot="1">
      <c r="A28" s="1846" t="s">
        <v>1155</v>
      </c>
      <c r="B28" s="1847" t="s">
        <v>1257</v>
      </c>
      <c r="C28" s="1849"/>
      <c r="D28" s="1848">
        <v>7.5999999999999998E-2</v>
      </c>
      <c r="E28" s="1848">
        <v>9.1999999999999998E-2</v>
      </c>
      <c r="F28" s="1850"/>
    </row>
    <row r="29" spans="1:6" ht="15" thickBot="1">
      <c r="A29" s="1838" t="s">
        <v>1326</v>
      </c>
      <c r="B29" s="1839" t="s">
        <v>2088</v>
      </c>
      <c r="C29" s="1840">
        <v>6.4000000000000001E-2</v>
      </c>
      <c r="D29" s="1840">
        <v>6.5000000000000002E-2</v>
      </c>
      <c r="E29" s="1840">
        <v>6.9000000000000006E-2</v>
      </c>
      <c r="F29" s="1841">
        <v>0.1</v>
      </c>
    </row>
    <row r="30" spans="1:6" ht="15" thickBot="1">
      <c r="A30" s="1838" t="s">
        <v>1326</v>
      </c>
      <c r="B30" s="1845" t="s">
        <v>1072</v>
      </c>
      <c r="C30" s="1843">
        <v>6.4000000000000001E-2</v>
      </c>
      <c r="D30" s="1843">
        <v>9.9000000000000005E-2</v>
      </c>
      <c r="E30" s="1843">
        <v>0.1</v>
      </c>
      <c r="F30" s="1844">
        <v>0.1</v>
      </c>
    </row>
    <row r="31" spans="1:6" ht="15" thickBot="1">
      <c r="A31" s="1838" t="s">
        <v>1326</v>
      </c>
      <c r="B31" s="1845" t="s">
        <v>1086</v>
      </c>
      <c r="C31" s="1843">
        <v>0.1</v>
      </c>
      <c r="D31" s="1843">
        <v>9.5000000000000001E-2</v>
      </c>
      <c r="E31" s="1843">
        <v>8.8999999999999996E-2</v>
      </c>
      <c r="F31" s="1844">
        <v>0.1</v>
      </c>
    </row>
    <row r="32" spans="1:6" ht="15" thickBot="1">
      <c r="A32" s="1838" t="s">
        <v>1326</v>
      </c>
      <c r="B32" s="1845" t="s">
        <v>1099</v>
      </c>
      <c r="C32" s="1843">
        <v>0.05</v>
      </c>
      <c r="D32" s="1843">
        <v>0.05</v>
      </c>
      <c r="E32" s="1843">
        <v>8.7999999999999995E-2</v>
      </c>
      <c r="F32" s="1844">
        <v>0.1</v>
      </c>
    </row>
    <row r="33" spans="1:6" ht="15" thickBot="1">
      <c r="A33" s="1838" t="s">
        <v>1326</v>
      </c>
      <c r="B33" s="1845" t="s">
        <v>1113</v>
      </c>
      <c r="C33" s="1843">
        <v>7.4999999999999997E-2</v>
      </c>
      <c r="D33" s="1843">
        <v>9.4E-2</v>
      </c>
      <c r="E33" s="1843">
        <v>9.7000000000000003E-2</v>
      </c>
      <c r="F33" s="1844">
        <v>0.1</v>
      </c>
    </row>
    <row r="34" spans="1:6" ht="15" thickBot="1">
      <c r="A34" s="1838" t="s">
        <v>1326</v>
      </c>
      <c r="B34" s="1845" t="s">
        <v>1124</v>
      </c>
      <c r="C34" s="1843">
        <v>9.8000000000000004E-2</v>
      </c>
      <c r="D34" s="1843">
        <v>8.5999999999999993E-2</v>
      </c>
      <c r="E34" s="1843">
        <v>9.7000000000000003E-2</v>
      </c>
      <c r="F34" s="1844">
        <v>0.1</v>
      </c>
    </row>
    <row r="35" spans="1:6" ht="15" thickBot="1">
      <c r="A35" s="1838" t="s">
        <v>1326</v>
      </c>
      <c r="B35" s="1845" t="s">
        <v>1135</v>
      </c>
      <c r="C35" s="1843">
        <v>5.8999999999999997E-2</v>
      </c>
      <c r="D35" s="1843">
        <v>6.5000000000000002E-2</v>
      </c>
      <c r="E35" s="1843">
        <v>7.0000000000000007E-2</v>
      </c>
      <c r="F35" s="1844">
        <v>0.1</v>
      </c>
    </row>
    <row r="36" spans="1:6" ht="15" thickBot="1">
      <c r="A36" s="1838" t="s">
        <v>1326</v>
      </c>
      <c r="B36" s="1845" t="s">
        <v>1146</v>
      </c>
      <c r="C36" s="1843">
        <v>6.3E-2</v>
      </c>
      <c r="D36" s="1843">
        <v>0.1</v>
      </c>
      <c r="E36" s="1843">
        <v>0.1</v>
      </c>
      <c r="F36" s="1844">
        <v>0.1</v>
      </c>
    </row>
    <row r="37" spans="1:6" ht="15" thickBot="1">
      <c r="A37" s="1838" t="s">
        <v>1326</v>
      </c>
      <c r="B37" s="1845" t="s">
        <v>1158</v>
      </c>
      <c r="C37" s="1843">
        <v>7.3999999999999996E-2</v>
      </c>
      <c r="D37" s="1843">
        <v>0.1</v>
      </c>
      <c r="E37" s="1843">
        <v>0.1</v>
      </c>
      <c r="F37" s="1844">
        <v>0.1</v>
      </c>
    </row>
    <row r="38" spans="1:6" ht="15" thickBot="1">
      <c r="A38" s="1838" t="s">
        <v>1326</v>
      </c>
      <c r="B38" s="1845" t="s">
        <v>1168</v>
      </c>
      <c r="C38" s="1843">
        <v>0.1</v>
      </c>
      <c r="D38" s="1843">
        <v>9.6000000000000002E-2</v>
      </c>
      <c r="E38" s="1843">
        <v>9.6000000000000002E-2</v>
      </c>
      <c r="F38" s="1851"/>
    </row>
    <row r="39" spans="1:6" ht="15" thickBot="1">
      <c r="A39" s="1838" t="s">
        <v>1326</v>
      </c>
      <c r="B39" s="1845" t="s">
        <v>1178</v>
      </c>
      <c r="C39" s="1843">
        <v>0.1</v>
      </c>
      <c r="D39" s="1843">
        <v>9.6000000000000002E-2</v>
      </c>
      <c r="E39" s="1843">
        <v>9.6000000000000002E-2</v>
      </c>
      <c r="F39" s="1851"/>
    </row>
    <row r="40" spans="1:6" ht="15" thickBot="1">
      <c r="A40" s="1838" t="s">
        <v>1326</v>
      </c>
      <c r="B40" s="1845" t="s">
        <v>1188</v>
      </c>
      <c r="C40" s="1843">
        <v>9.6000000000000002E-2</v>
      </c>
      <c r="D40" s="1843">
        <v>0.1</v>
      </c>
      <c r="E40" s="1843">
        <v>9.9000000000000005E-2</v>
      </c>
      <c r="F40" s="1851"/>
    </row>
    <row r="41" spans="1:6" ht="15" thickBot="1">
      <c r="A41" s="1838" t="s">
        <v>1326</v>
      </c>
      <c r="B41" s="1845" t="s">
        <v>1198</v>
      </c>
      <c r="C41" s="1843">
        <v>9.6000000000000002E-2</v>
      </c>
      <c r="D41" s="1843">
        <v>9.8000000000000004E-2</v>
      </c>
      <c r="E41" s="1843">
        <v>9.8000000000000004E-2</v>
      </c>
      <c r="F41" s="1851"/>
    </row>
    <row r="42" spans="1:6" ht="15" thickBot="1">
      <c r="A42" s="1838" t="s">
        <v>1326</v>
      </c>
      <c r="B42" s="1845" t="s">
        <v>1208</v>
      </c>
      <c r="C42" s="1843">
        <v>0.1</v>
      </c>
      <c r="D42" s="1843">
        <v>8.7999999999999995E-2</v>
      </c>
      <c r="E42" s="1843">
        <v>0.1</v>
      </c>
      <c r="F42" s="1851"/>
    </row>
    <row r="43" spans="1:6" ht="15" thickBot="1">
      <c r="A43" s="1838" t="s">
        <v>1326</v>
      </c>
      <c r="B43" s="1845" t="s">
        <v>1218</v>
      </c>
      <c r="C43" s="1843">
        <v>9.8000000000000004E-2</v>
      </c>
      <c r="D43" s="1843">
        <v>9.7000000000000003E-2</v>
      </c>
      <c r="E43" s="1843">
        <v>9.6000000000000002E-2</v>
      </c>
      <c r="F43" s="1851"/>
    </row>
    <row r="44" spans="1:6" ht="15" thickBot="1">
      <c r="A44" s="1838" t="s">
        <v>1326</v>
      </c>
      <c r="B44" s="1845" t="s">
        <v>1228</v>
      </c>
      <c r="C44" s="1843">
        <v>8.5999999999999993E-2</v>
      </c>
      <c r="D44" s="1843">
        <v>7.9000000000000001E-2</v>
      </c>
      <c r="E44" s="1843">
        <v>7.0999999999999994E-2</v>
      </c>
      <c r="F44" s="1851"/>
    </row>
    <row r="45" spans="1:6" ht="15" thickBot="1">
      <c r="A45" s="1838" t="s">
        <v>1326</v>
      </c>
      <c r="B45" s="1845" t="s">
        <v>1238</v>
      </c>
      <c r="C45" s="1843">
        <v>9.8000000000000004E-2</v>
      </c>
      <c r="D45" s="1843">
        <v>9.6000000000000002E-2</v>
      </c>
      <c r="E45" s="1843">
        <v>9.6000000000000002E-2</v>
      </c>
      <c r="F45" s="1851"/>
    </row>
    <row r="46" spans="1:6" ht="15" thickBot="1">
      <c r="A46" s="1838" t="s">
        <v>1326</v>
      </c>
      <c r="B46" s="1845" t="s">
        <v>1248</v>
      </c>
      <c r="C46" s="1843">
        <v>8.5999999999999993E-2</v>
      </c>
      <c r="D46" s="1843">
        <v>9.8000000000000004E-2</v>
      </c>
      <c r="E46" s="1843">
        <v>8.7999999999999995E-2</v>
      </c>
      <c r="F46" s="1851"/>
    </row>
    <row r="47" spans="1:6" ht="15" thickBot="1">
      <c r="A47" s="1838" t="s">
        <v>1326</v>
      </c>
      <c r="B47" s="1845" t="s">
        <v>1258</v>
      </c>
      <c r="C47" s="1843">
        <v>9.6000000000000002E-2</v>
      </c>
      <c r="D47" s="1852"/>
      <c r="E47" s="1843">
        <v>6.9000000000000006E-2</v>
      </c>
      <c r="F47" s="1851"/>
    </row>
    <row r="48" spans="1:6" ht="15" thickBot="1">
      <c r="A48" s="1846" t="s">
        <v>1326</v>
      </c>
      <c r="B48" s="1847" t="s">
        <v>1267</v>
      </c>
      <c r="C48" s="1848">
        <v>9.8000000000000004E-2</v>
      </c>
      <c r="D48" s="1849"/>
      <c r="E48" s="1848">
        <v>9.5000000000000001E-2</v>
      </c>
      <c r="F48" s="1850"/>
    </row>
    <row r="49" spans="1:6" ht="15" thickBot="1">
      <c r="A49" s="1838" t="s">
        <v>925</v>
      </c>
      <c r="B49" s="1839" t="s">
        <v>2089</v>
      </c>
      <c r="C49" s="1840">
        <v>9.7000000000000003E-2</v>
      </c>
      <c r="D49" s="1840">
        <v>9.5000000000000001E-2</v>
      </c>
      <c r="E49" s="1840">
        <v>9.7000000000000003E-2</v>
      </c>
      <c r="F49" s="1841">
        <v>0.1</v>
      </c>
    </row>
    <row r="50" spans="1:6" ht="15" thickBot="1">
      <c r="A50" s="1838" t="s">
        <v>925</v>
      </c>
      <c r="B50" s="1842" t="s">
        <v>1073</v>
      </c>
      <c r="C50" s="1843">
        <v>7.4999999999999997E-2</v>
      </c>
      <c r="D50" s="1843">
        <v>9.5000000000000001E-2</v>
      </c>
      <c r="E50" s="1843">
        <v>0.1</v>
      </c>
      <c r="F50" s="1844">
        <v>0.1</v>
      </c>
    </row>
    <row r="51" spans="1:6" ht="15" thickBot="1">
      <c r="A51" s="1838" t="s">
        <v>925</v>
      </c>
      <c r="B51" s="1842" t="s">
        <v>1087</v>
      </c>
      <c r="C51" s="1843">
        <v>9.8000000000000004E-2</v>
      </c>
      <c r="D51" s="1843">
        <v>8.8999999999999996E-2</v>
      </c>
      <c r="E51" s="1843">
        <v>0.1</v>
      </c>
      <c r="F51" s="1844">
        <v>0.1</v>
      </c>
    </row>
    <row r="52" spans="1:6" ht="15" thickBot="1">
      <c r="A52" s="1838" t="s">
        <v>925</v>
      </c>
      <c r="B52" s="1842" t="s">
        <v>1100</v>
      </c>
      <c r="C52" s="1843">
        <v>9.8000000000000004E-2</v>
      </c>
      <c r="D52" s="1843">
        <v>9.7000000000000003E-2</v>
      </c>
      <c r="E52" s="1843">
        <v>8.1000000000000003E-2</v>
      </c>
      <c r="F52" s="1844">
        <v>0.1</v>
      </c>
    </row>
    <row r="53" spans="1:6" ht="15" thickBot="1">
      <c r="A53" s="1838" t="s">
        <v>925</v>
      </c>
      <c r="B53" s="1842" t="s">
        <v>1114</v>
      </c>
      <c r="C53" s="1843">
        <v>9.7000000000000003E-2</v>
      </c>
      <c r="D53" s="1843">
        <v>7.5999999999999998E-2</v>
      </c>
      <c r="E53" s="1843">
        <v>7.0999999999999994E-2</v>
      </c>
      <c r="F53" s="1844">
        <v>0.1</v>
      </c>
    </row>
    <row r="54" spans="1:6" ht="15" thickBot="1">
      <c r="A54" s="1838" t="s">
        <v>925</v>
      </c>
      <c r="B54" s="1842" t="s">
        <v>1125</v>
      </c>
      <c r="C54" s="1843">
        <v>7.5999999999999998E-2</v>
      </c>
      <c r="D54" s="1843">
        <v>0.1</v>
      </c>
      <c r="E54" s="1843">
        <v>9.9000000000000005E-2</v>
      </c>
      <c r="F54" s="1844">
        <v>0.1</v>
      </c>
    </row>
    <row r="55" spans="1:6" ht="15" thickBot="1">
      <c r="A55" s="1838" t="s">
        <v>925</v>
      </c>
      <c r="B55" s="1842" t="s">
        <v>1136</v>
      </c>
      <c r="C55" s="1843">
        <v>0.1</v>
      </c>
      <c r="D55" s="1843">
        <v>0.1</v>
      </c>
      <c r="E55" s="1843">
        <v>9.6000000000000002E-2</v>
      </c>
      <c r="F55" s="1844">
        <v>0.1</v>
      </c>
    </row>
    <row r="56" spans="1:6" ht="15" thickBot="1">
      <c r="A56" s="1838" t="s">
        <v>925</v>
      </c>
      <c r="B56" s="1842" t="s">
        <v>1147</v>
      </c>
      <c r="C56" s="1843">
        <v>0.1</v>
      </c>
      <c r="D56" s="1843">
        <v>9.6000000000000002E-2</v>
      </c>
      <c r="E56" s="1843">
        <v>5.1999999999999998E-2</v>
      </c>
      <c r="F56" s="1844">
        <v>0.1</v>
      </c>
    </row>
    <row r="57" spans="1:6" ht="15" thickBot="1">
      <c r="A57" s="1838" t="s">
        <v>925</v>
      </c>
      <c r="B57" s="1842" t="s">
        <v>1159</v>
      </c>
      <c r="C57" s="1843">
        <v>9.7000000000000003E-2</v>
      </c>
      <c r="D57" s="1843">
        <v>9.6000000000000002E-2</v>
      </c>
      <c r="E57" s="1843">
        <v>9.6000000000000002E-2</v>
      </c>
      <c r="F57" s="1844">
        <v>0.1</v>
      </c>
    </row>
    <row r="58" spans="1:6" ht="15" thickBot="1">
      <c r="A58" s="1838" t="s">
        <v>925</v>
      </c>
      <c r="B58" s="1842" t="s">
        <v>1169</v>
      </c>
      <c r="C58" s="1843">
        <v>9.6000000000000002E-2</v>
      </c>
      <c r="D58" s="1843">
        <v>9.9000000000000005E-2</v>
      </c>
      <c r="E58" s="1843">
        <v>9.6000000000000002E-2</v>
      </c>
      <c r="F58" s="1844">
        <v>0.1</v>
      </c>
    </row>
    <row r="59" spans="1:6" ht="15" thickBot="1">
      <c r="A59" s="1838" t="s">
        <v>925</v>
      </c>
      <c r="B59" s="1842" t="s">
        <v>1179</v>
      </c>
      <c r="C59" s="1843">
        <v>7.1999999999999995E-2</v>
      </c>
      <c r="D59" s="1843">
        <v>9.6000000000000002E-2</v>
      </c>
      <c r="E59" s="1843">
        <v>7.0999999999999994E-2</v>
      </c>
      <c r="F59" s="1844">
        <v>0.1</v>
      </c>
    </row>
    <row r="60" spans="1:6" ht="15" thickBot="1">
      <c r="A60" s="1838" t="s">
        <v>925</v>
      </c>
      <c r="B60" s="1842" t="s">
        <v>1189</v>
      </c>
      <c r="C60" s="1843">
        <v>9.6000000000000002E-2</v>
      </c>
      <c r="D60" s="1843">
        <v>8.8999999999999996E-2</v>
      </c>
      <c r="E60" s="1843">
        <v>9.6000000000000002E-2</v>
      </c>
      <c r="F60" s="1844">
        <v>0.1</v>
      </c>
    </row>
    <row r="61" spans="1:6" ht="15" thickBot="1">
      <c r="A61" s="1838" t="s">
        <v>925</v>
      </c>
      <c r="B61" s="1842" t="s">
        <v>1199</v>
      </c>
      <c r="C61" s="1843">
        <v>8.8999999999999996E-2</v>
      </c>
      <c r="D61" s="1843">
        <v>9.8000000000000004E-2</v>
      </c>
      <c r="E61" s="1843">
        <v>8.7999999999999995E-2</v>
      </c>
      <c r="F61" s="1851"/>
    </row>
    <row r="62" spans="1:6" ht="15" thickBot="1">
      <c r="A62" s="1838" t="s">
        <v>925</v>
      </c>
      <c r="B62" s="1842" t="s">
        <v>1209</v>
      </c>
      <c r="C62" s="1843">
        <v>9.8000000000000004E-2</v>
      </c>
      <c r="D62" s="1843">
        <v>9.2999999999999999E-2</v>
      </c>
      <c r="E62" s="1843">
        <v>9.7000000000000003E-2</v>
      </c>
      <c r="F62" s="1851"/>
    </row>
    <row r="63" spans="1:6" ht="15" thickBot="1">
      <c r="A63" s="1838" t="s">
        <v>925</v>
      </c>
      <c r="B63" s="1842" t="s">
        <v>1219</v>
      </c>
      <c r="C63" s="1843">
        <v>9.6000000000000002E-2</v>
      </c>
      <c r="D63" s="1843">
        <v>9.8000000000000004E-2</v>
      </c>
      <c r="E63" s="1843">
        <v>0.09</v>
      </c>
      <c r="F63" s="1851"/>
    </row>
    <row r="64" spans="1:6" ht="15" thickBot="1">
      <c r="A64" s="1838" t="s">
        <v>925</v>
      </c>
      <c r="B64" s="1842" t="s">
        <v>1229</v>
      </c>
      <c r="C64" s="1843">
        <v>9.9000000000000005E-2</v>
      </c>
      <c r="D64" s="1843">
        <v>9.7000000000000003E-2</v>
      </c>
      <c r="E64" s="1843">
        <v>9.9000000000000005E-2</v>
      </c>
      <c r="F64" s="1851"/>
    </row>
    <row r="65" spans="1:6" ht="15" thickBot="1">
      <c r="A65" s="1838" t="s">
        <v>925</v>
      </c>
      <c r="B65" s="1842" t="s">
        <v>1239</v>
      </c>
      <c r="C65" s="1843">
        <v>9.8000000000000004E-2</v>
      </c>
      <c r="D65" s="1843">
        <v>9.6000000000000002E-2</v>
      </c>
      <c r="E65" s="1843">
        <v>9.6000000000000002E-2</v>
      </c>
      <c r="F65" s="1851"/>
    </row>
    <row r="66" spans="1:6" ht="15" thickBot="1">
      <c r="A66" s="1838" t="s">
        <v>925</v>
      </c>
      <c r="B66" s="1842" t="s">
        <v>1249</v>
      </c>
      <c r="C66" s="1843">
        <v>9.6000000000000002E-2</v>
      </c>
      <c r="D66" s="1843">
        <v>9.1999999999999998E-2</v>
      </c>
      <c r="E66" s="1843">
        <v>9.6000000000000002E-2</v>
      </c>
      <c r="F66" s="1851"/>
    </row>
    <row r="67" spans="1:6" ht="15" thickBot="1">
      <c r="A67" s="1838" t="s">
        <v>925</v>
      </c>
      <c r="B67" s="1842" t="s">
        <v>1259</v>
      </c>
      <c r="C67" s="1843">
        <v>9.4E-2</v>
      </c>
      <c r="D67" s="1843">
        <v>0.1</v>
      </c>
      <c r="E67" s="1843">
        <v>8.7999999999999995E-2</v>
      </c>
      <c r="F67" s="1851"/>
    </row>
    <row r="68" spans="1:6" ht="15" thickBot="1">
      <c r="A68" s="1838" t="s">
        <v>925</v>
      </c>
      <c r="B68" s="1842" t="s">
        <v>1268</v>
      </c>
      <c r="C68" s="1843">
        <v>0.1</v>
      </c>
      <c r="D68" s="1843">
        <v>8.7999999999999995E-2</v>
      </c>
      <c r="E68" s="1843">
        <v>9.7000000000000003E-2</v>
      </c>
      <c r="F68" s="1851"/>
    </row>
    <row r="69" spans="1:6" ht="15" thickBot="1">
      <c r="A69" s="1838" t="s">
        <v>925</v>
      </c>
      <c r="B69" s="1842" t="s">
        <v>1277</v>
      </c>
      <c r="C69" s="1843">
        <v>6.4000000000000001E-2</v>
      </c>
      <c r="D69" s="1843">
        <v>0.1</v>
      </c>
      <c r="E69" s="1843">
        <v>0.1</v>
      </c>
      <c r="F69" s="1851"/>
    </row>
    <row r="70" spans="1:6" ht="15" thickBot="1">
      <c r="A70" s="1838" t="s">
        <v>925</v>
      </c>
      <c r="B70" s="1842" t="s">
        <v>1285</v>
      </c>
      <c r="C70" s="1843">
        <v>9.0999999999999998E-2</v>
      </c>
      <c r="D70" s="1852"/>
      <c r="E70" s="1852"/>
      <c r="F70" s="1851"/>
    </row>
    <row r="71" spans="1:6" ht="15" thickBot="1">
      <c r="A71" s="1838" t="s">
        <v>925</v>
      </c>
      <c r="B71" s="1842" t="s">
        <v>1292</v>
      </c>
      <c r="C71" s="1843">
        <v>0.1</v>
      </c>
      <c r="D71" s="1852"/>
      <c r="E71" s="1852"/>
      <c r="F71" s="1851"/>
    </row>
    <row r="72" spans="1:6" ht="24.6" thickBot="1">
      <c r="A72" s="1838" t="s">
        <v>925</v>
      </c>
      <c r="B72" s="1842" t="s">
        <v>2090</v>
      </c>
      <c r="C72" s="1852"/>
      <c r="D72" s="1852"/>
      <c r="E72" s="1852"/>
      <c r="F72" s="1844">
        <v>0.05</v>
      </c>
    </row>
    <row r="73" spans="1:6" ht="24.6" thickBot="1">
      <c r="A73" s="1838" t="s">
        <v>925</v>
      </c>
      <c r="B73" s="1842" t="s">
        <v>2091</v>
      </c>
      <c r="C73" s="1852"/>
      <c r="D73" s="1852"/>
      <c r="E73" s="1852"/>
      <c r="F73" s="1844">
        <v>0.05</v>
      </c>
    </row>
    <row r="74" spans="1:6" ht="24.6" thickBot="1">
      <c r="A74" s="1838" t="s">
        <v>925</v>
      </c>
      <c r="B74" s="1842" t="s">
        <v>2092</v>
      </c>
      <c r="C74" s="1852"/>
      <c r="D74" s="1852"/>
      <c r="E74" s="1852"/>
      <c r="F74" s="1844">
        <v>0.05</v>
      </c>
    </row>
    <row r="75" spans="1:6" ht="24.6" thickBot="1">
      <c r="A75" s="1846" t="s">
        <v>925</v>
      </c>
      <c r="B75" s="1853" t="s">
        <v>2093</v>
      </c>
      <c r="C75" s="1849"/>
      <c r="D75" s="1849"/>
      <c r="E75" s="1849"/>
      <c r="F75" s="1854">
        <v>0.05</v>
      </c>
    </row>
    <row r="76" spans="1:6" ht="15" thickBot="1">
      <c r="A76" s="1838" t="s">
        <v>1407</v>
      </c>
      <c r="B76" s="1839" t="s">
        <v>2094</v>
      </c>
      <c r="C76" s="1840">
        <v>0.1</v>
      </c>
      <c r="D76" s="1840">
        <v>0.1</v>
      </c>
      <c r="E76" s="1840">
        <v>0.1</v>
      </c>
      <c r="F76" s="1841">
        <v>0.1</v>
      </c>
    </row>
    <row r="77" spans="1:6" ht="15" thickBot="1">
      <c r="A77" s="1838" t="s">
        <v>1407</v>
      </c>
      <c r="B77" s="1842" t="s">
        <v>1074</v>
      </c>
      <c r="C77" s="1843">
        <v>8.7999999999999995E-2</v>
      </c>
      <c r="D77" s="1843">
        <v>8.6999999999999994E-2</v>
      </c>
      <c r="E77" s="1843">
        <v>7.9000000000000001E-2</v>
      </c>
      <c r="F77" s="1844">
        <v>0.1</v>
      </c>
    </row>
    <row r="78" spans="1:6" ht="15" thickBot="1">
      <c r="A78" s="1838" t="s">
        <v>1407</v>
      </c>
      <c r="B78" s="1842" t="s">
        <v>1088</v>
      </c>
      <c r="C78" s="1843">
        <v>8.6999999999999994E-2</v>
      </c>
      <c r="D78" s="1843">
        <v>8.4000000000000005E-2</v>
      </c>
      <c r="E78" s="1843">
        <v>9.6000000000000002E-2</v>
      </c>
      <c r="F78" s="1844">
        <v>0.1</v>
      </c>
    </row>
    <row r="79" spans="1:6" ht="15" thickBot="1">
      <c r="A79" s="1838" t="s">
        <v>1407</v>
      </c>
      <c r="B79" s="1842" t="s">
        <v>1101</v>
      </c>
      <c r="C79" s="1843">
        <v>9.8000000000000004E-2</v>
      </c>
      <c r="D79" s="1843">
        <v>9.8000000000000004E-2</v>
      </c>
      <c r="E79" s="1843">
        <v>9.0999999999999998E-2</v>
      </c>
      <c r="F79" s="1844">
        <v>0.1</v>
      </c>
    </row>
    <row r="80" spans="1:6" ht="15" thickBot="1">
      <c r="A80" s="1838" t="s">
        <v>1407</v>
      </c>
      <c r="B80" s="1842" t="s">
        <v>1115</v>
      </c>
      <c r="C80" s="1843">
        <v>9.6000000000000002E-2</v>
      </c>
      <c r="D80" s="1843">
        <v>9.6000000000000002E-2</v>
      </c>
      <c r="E80" s="1843">
        <v>0.1</v>
      </c>
      <c r="F80" s="1844">
        <v>0.1</v>
      </c>
    </row>
    <row r="81" spans="1:6" ht="15" thickBot="1">
      <c r="A81" s="1838" t="s">
        <v>1407</v>
      </c>
      <c r="B81" s="1842" t="s">
        <v>1126</v>
      </c>
      <c r="C81" s="1843">
        <v>9.9000000000000005E-2</v>
      </c>
      <c r="D81" s="1843">
        <v>9.9000000000000005E-2</v>
      </c>
      <c r="E81" s="1843">
        <v>9.8000000000000004E-2</v>
      </c>
      <c r="F81" s="1844">
        <v>0.1</v>
      </c>
    </row>
    <row r="82" spans="1:6" ht="15" thickBot="1">
      <c r="A82" s="1838" t="s">
        <v>1407</v>
      </c>
      <c r="B82" s="1842" t="s">
        <v>1137</v>
      </c>
      <c r="C82" s="1843">
        <v>9.9000000000000005E-2</v>
      </c>
      <c r="D82" s="1843">
        <v>9.9000000000000005E-2</v>
      </c>
      <c r="E82" s="1843">
        <v>9.7000000000000003E-2</v>
      </c>
      <c r="F82" s="1844">
        <v>0.1</v>
      </c>
    </row>
    <row r="83" spans="1:6" ht="15" thickBot="1">
      <c r="A83" s="1838" t="s">
        <v>1407</v>
      </c>
      <c r="B83" s="1842" t="s">
        <v>1148</v>
      </c>
      <c r="C83" s="1843">
        <v>9.8000000000000004E-2</v>
      </c>
      <c r="D83" s="1843">
        <v>9.8000000000000004E-2</v>
      </c>
      <c r="E83" s="1843">
        <v>9.8000000000000004E-2</v>
      </c>
      <c r="F83" s="1844">
        <v>0.1</v>
      </c>
    </row>
    <row r="84" spans="1:6" ht="15" thickBot="1">
      <c r="A84" s="1838" t="s">
        <v>1407</v>
      </c>
      <c r="B84" s="1842" t="s">
        <v>1160</v>
      </c>
      <c r="C84" s="1843">
        <v>9.9000000000000005E-2</v>
      </c>
      <c r="D84" s="1843">
        <v>9.9000000000000005E-2</v>
      </c>
      <c r="E84" s="1843">
        <v>9.9000000000000005E-2</v>
      </c>
      <c r="F84" s="1844">
        <v>0.1</v>
      </c>
    </row>
    <row r="85" spans="1:6" ht="15" thickBot="1">
      <c r="A85" s="1838" t="s">
        <v>1407</v>
      </c>
      <c r="B85" s="1842" t="s">
        <v>1170</v>
      </c>
      <c r="C85" s="1843">
        <v>9.9000000000000005E-2</v>
      </c>
      <c r="D85" s="1843">
        <v>9.9000000000000005E-2</v>
      </c>
      <c r="E85" s="1843">
        <v>9.9000000000000005E-2</v>
      </c>
      <c r="F85" s="1844">
        <v>0.1</v>
      </c>
    </row>
    <row r="86" spans="1:6" ht="15" thickBot="1">
      <c r="A86" s="1838" t="s">
        <v>1407</v>
      </c>
      <c r="B86" s="1842" t="s">
        <v>1180</v>
      </c>
      <c r="C86" s="1843">
        <v>0.1</v>
      </c>
      <c r="D86" s="1843">
        <v>0.1</v>
      </c>
      <c r="E86" s="1843">
        <v>7.6999999999999999E-2</v>
      </c>
      <c r="F86" s="1844">
        <v>0.1</v>
      </c>
    </row>
    <row r="87" spans="1:6" ht="15" thickBot="1">
      <c r="A87" s="1838" t="s">
        <v>1407</v>
      </c>
      <c r="B87" s="1842" t="s">
        <v>1190</v>
      </c>
      <c r="C87" s="1843">
        <v>0.1</v>
      </c>
      <c r="D87" s="1843">
        <v>0.1</v>
      </c>
      <c r="E87" s="1843">
        <v>9.8000000000000004E-2</v>
      </c>
      <c r="F87" s="1851"/>
    </row>
    <row r="88" spans="1:6" ht="15" thickBot="1">
      <c r="A88" s="1838" t="s">
        <v>1407</v>
      </c>
      <c r="B88" s="1842" t="s">
        <v>1200</v>
      </c>
      <c r="C88" s="1843">
        <v>9.1999999999999998E-2</v>
      </c>
      <c r="D88" s="1843">
        <v>8.5000000000000006E-2</v>
      </c>
      <c r="E88" s="1843">
        <v>9.6000000000000002E-2</v>
      </c>
      <c r="F88" s="1851"/>
    </row>
    <row r="89" spans="1:6" ht="15" thickBot="1">
      <c r="A89" s="1838" t="s">
        <v>1407</v>
      </c>
      <c r="B89" s="1842" t="s">
        <v>1210</v>
      </c>
      <c r="C89" s="1843">
        <v>0.1</v>
      </c>
      <c r="D89" s="1843">
        <v>0.1</v>
      </c>
      <c r="E89" s="1843">
        <v>9.7000000000000003E-2</v>
      </c>
      <c r="F89" s="1851"/>
    </row>
    <row r="90" spans="1:6" ht="15" thickBot="1">
      <c r="A90" s="1838" t="s">
        <v>1407</v>
      </c>
      <c r="B90" s="1842" t="s">
        <v>1220</v>
      </c>
      <c r="C90" s="1843">
        <v>9.8000000000000004E-2</v>
      </c>
      <c r="D90" s="1843">
        <v>9.8000000000000004E-2</v>
      </c>
      <c r="E90" s="1843">
        <v>8.7999999999999995E-2</v>
      </c>
      <c r="F90" s="1851"/>
    </row>
    <row r="91" spans="1:6" ht="15" thickBot="1">
      <c r="A91" s="1838" t="s">
        <v>1407</v>
      </c>
      <c r="B91" s="1842" t="s">
        <v>1230</v>
      </c>
      <c r="C91" s="1843">
        <v>9.9000000000000005E-2</v>
      </c>
      <c r="D91" s="1843">
        <v>9.9000000000000005E-2</v>
      </c>
      <c r="E91" s="1843">
        <v>9.0999999999999998E-2</v>
      </c>
      <c r="F91" s="1851"/>
    </row>
    <row r="92" spans="1:6" ht="15" thickBot="1">
      <c r="A92" s="1838" t="s">
        <v>1407</v>
      </c>
      <c r="B92" s="1842" t="s">
        <v>1240</v>
      </c>
      <c r="C92" s="1843">
        <v>9.6000000000000002E-2</v>
      </c>
      <c r="D92" s="1843">
        <v>9.6000000000000002E-2</v>
      </c>
      <c r="E92" s="1843">
        <v>7.2999999999999995E-2</v>
      </c>
      <c r="F92" s="1851"/>
    </row>
    <row r="93" spans="1:6" ht="15" thickBot="1">
      <c r="A93" s="1838" t="s">
        <v>1407</v>
      </c>
      <c r="B93" s="1842" t="s">
        <v>1250</v>
      </c>
      <c r="C93" s="1843">
        <v>9.6000000000000002E-2</v>
      </c>
      <c r="D93" s="1843">
        <v>9.6000000000000002E-2</v>
      </c>
      <c r="E93" s="1843">
        <v>9.9000000000000005E-2</v>
      </c>
      <c r="F93" s="1851"/>
    </row>
    <row r="94" spans="1:6" ht="15" thickBot="1">
      <c r="A94" s="1838" t="s">
        <v>1407</v>
      </c>
      <c r="B94" s="1842" t="s">
        <v>1260</v>
      </c>
      <c r="C94" s="1843">
        <v>7.5999999999999998E-2</v>
      </c>
      <c r="D94" s="1843">
        <v>7.3999999999999996E-2</v>
      </c>
      <c r="E94" s="1843">
        <v>9.7000000000000003E-2</v>
      </c>
      <c r="F94" s="1851"/>
    </row>
    <row r="95" spans="1:6" ht="15" thickBot="1">
      <c r="A95" s="1838" t="s">
        <v>1407</v>
      </c>
      <c r="B95" s="1842" t="s">
        <v>1269</v>
      </c>
      <c r="C95" s="1843">
        <v>9.9000000000000005E-2</v>
      </c>
      <c r="D95" s="1843">
        <v>9.4E-2</v>
      </c>
      <c r="E95" s="1843">
        <v>9.6000000000000002E-2</v>
      </c>
      <c r="F95" s="1851"/>
    </row>
    <row r="96" spans="1:6" ht="15" thickBot="1">
      <c r="A96" s="1838" t="s">
        <v>1407</v>
      </c>
      <c r="B96" s="1842" t="s">
        <v>1278</v>
      </c>
      <c r="C96" s="1843">
        <v>9.9000000000000005E-2</v>
      </c>
      <c r="D96" s="1843">
        <v>9.9000000000000005E-2</v>
      </c>
      <c r="E96" s="1843">
        <v>9.9000000000000005E-2</v>
      </c>
      <c r="F96" s="1851"/>
    </row>
    <row r="97" spans="1:6" ht="15" thickBot="1">
      <c r="A97" s="1838" t="s">
        <v>1407</v>
      </c>
      <c r="B97" s="1842" t="s">
        <v>1286</v>
      </c>
      <c r="C97" s="1843">
        <v>9.8000000000000004E-2</v>
      </c>
      <c r="D97" s="1843">
        <v>9.8000000000000004E-2</v>
      </c>
      <c r="E97" s="1843">
        <v>9.7000000000000003E-2</v>
      </c>
      <c r="F97" s="1851"/>
    </row>
    <row r="98" spans="1:6" ht="15" thickBot="1">
      <c r="A98" s="1838" t="s">
        <v>1407</v>
      </c>
      <c r="B98" s="1842" t="s">
        <v>1293</v>
      </c>
      <c r="C98" s="1843">
        <v>0.1</v>
      </c>
      <c r="D98" s="1843">
        <v>0.1</v>
      </c>
      <c r="E98" s="1843">
        <v>9.7000000000000003E-2</v>
      </c>
      <c r="F98" s="1851"/>
    </row>
    <row r="99" spans="1:6" ht="15" thickBot="1">
      <c r="A99" s="1838" t="s">
        <v>1407</v>
      </c>
      <c r="B99" s="1842" t="s">
        <v>1300</v>
      </c>
      <c r="C99" s="1843">
        <v>0.1</v>
      </c>
      <c r="D99" s="1843">
        <v>0.1</v>
      </c>
      <c r="E99" s="1852"/>
      <c r="F99" s="1851"/>
    </row>
    <row r="100" spans="1:6" ht="15" thickBot="1">
      <c r="A100" s="1838" t="s">
        <v>1407</v>
      </c>
      <c r="B100" s="1842" t="s">
        <v>1307</v>
      </c>
      <c r="C100" s="1843">
        <v>0.09</v>
      </c>
      <c r="D100" s="1843">
        <v>8.8999999999999996E-2</v>
      </c>
      <c r="E100" s="1852"/>
      <c r="F100" s="1851"/>
    </row>
    <row r="101" spans="1:6" ht="15" thickBot="1">
      <c r="A101" s="1838" t="s">
        <v>1407</v>
      </c>
      <c r="B101" s="1842" t="s">
        <v>1314</v>
      </c>
      <c r="C101" s="1843">
        <v>9.8000000000000004E-2</v>
      </c>
      <c r="D101" s="1843">
        <v>9.7000000000000003E-2</v>
      </c>
      <c r="E101" s="1852"/>
      <c r="F101" s="1851"/>
    </row>
    <row r="102" spans="1:6" ht="24.6" thickBot="1">
      <c r="A102" s="1838" t="s">
        <v>1407</v>
      </c>
      <c r="B102" s="1842" t="s">
        <v>2095</v>
      </c>
      <c r="C102" s="1852"/>
      <c r="D102" s="1852"/>
      <c r="E102" s="1852"/>
      <c r="F102" s="1844">
        <v>0.05</v>
      </c>
    </row>
    <row r="103" spans="1:6" ht="24.6" thickBot="1">
      <c r="A103" s="1838" t="s">
        <v>1407</v>
      </c>
      <c r="B103" s="1842" t="s">
        <v>2096</v>
      </c>
      <c r="C103" s="1852"/>
      <c r="D103" s="1852"/>
      <c r="E103" s="1852"/>
      <c r="F103" s="1844">
        <v>0.05</v>
      </c>
    </row>
    <row r="104" spans="1:6" ht="15" thickBot="1">
      <c r="A104" s="1838" t="s">
        <v>1407</v>
      </c>
      <c r="B104" s="1842" t="s">
        <v>2097</v>
      </c>
      <c r="C104" s="1852"/>
      <c r="D104" s="1852"/>
      <c r="E104" s="1852"/>
      <c r="F104" s="1844">
        <v>0.05</v>
      </c>
    </row>
    <row r="105" spans="1:6" ht="24.6" thickBot="1">
      <c r="A105" s="1838" t="s">
        <v>1407</v>
      </c>
      <c r="B105" s="1842" t="s">
        <v>2098</v>
      </c>
      <c r="C105" s="1852"/>
      <c r="D105" s="1852"/>
      <c r="E105" s="1852"/>
      <c r="F105" s="1844">
        <v>0.05</v>
      </c>
    </row>
    <row r="106" spans="1:6" ht="24.6" thickBot="1">
      <c r="A106" s="1838" t="s">
        <v>1407</v>
      </c>
      <c r="B106" s="1842" t="s">
        <v>2099</v>
      </c>
      <c r="C106" s="1852"/>
      <c r="D106" s="1852"/>
      <c r="E106" s="1852"/>
      <c r="F106" s="1844">
        <v>0.05</v>
      </c>
    </row>
    <row r="107" spans="1:6" ht="24.6" thickBot="1">
      <c r="A107" s="1838" t="s">
        <v>1407</v>
      </c>
      <c r="B107" s="1842" t="s">
        <v>2100</v>
      </c>
      <c r="C107" s="1852"/>
      <c r="D107" s="1852"/>
      <c r="E107" s="1852"/>
      <c r="F107" s="1844">
        <v>0.05</v>
      </c>
    </row>
    <row r="108" spans="1:6" ht="24.6" thickBot="1">
      <c r="A108" s="1838" t="s">
        <v>1407</v>
      </c>
      <c r="B108" s="1842" t="s">
        <v>2101</v>
      </c>
      <c r="C108" s="1852"/>
      <c r="D108" s="1852"/>
      <c r="E108" s="1852"/>
      <c r="F108" s="1844">
        <v>0.05</v>
      </c>
    </row>
    <row r="109" spans="1:6" ht="24.6" thickBot="1">
      <c r="A109" s="1846" t="s">
        <v>1407</v>
      </c>
      <c r="B109" s="1853" t="s">
        <v>2102</v>
      </c>
      <c r="C109" s="1849"/>
      <c r="D109" s="1849"/>
      <c r="E109" s="1849"/>
      <c r="F109" s="1854">
        <v>0.05</v>
      </c>
    </row>
    <row r="110" spans="1:6" ht="15" thickBot="1">
      <c r="A110" s="1838" t="s">
        <v>1409</v>
      </c>
      <c r="B110" s="1839" t="s">
        <v>2103</v>
      </c>
      <c r="C110" s="1840">
        <v>0.129</v>
      </c>
      <c r="D110" s="1840">
        <v>0.129</v>
      </c>
      <c r="E110" s="1840">
        <v>0.126</v>
      </c>
      <c r="F110" s="1841">
        <v>0.13</v>
      </c>
    </row>
    <row r="111" spans="1:6" ht="15" thickBot="1">
      <c r="A111" s="1838" t="s">
        <v>1409</v>
      </c>
      <c r="B111" s="1842" t="s">
        <v>1075</v>
      </c>
      <c r="C111" s="1843">
        <v>0.11</v>
      </c>
      <c r="D111" s="1843">
        <v>0.11</v>
      </c>
      <c r="E111" s="1843">
        <v>9.9000000000000005E-2</v>
      </c>
      <c r="F111" s="1844">
        <v>0.128</v>
      </c>
    </row>
    <row r="112" spans="1:6" ht="15" thickBot="1">
      <c r="A112" s="1838" t="s">
        <v>1409</v>
      </c>
      <c r="B112" s="1842" t="s">
        <v>1089</v>
      </c>
      <c r="C112" s="1843">
        <v>0.125</v>
      </c>
      <c r="D112" s="1843">
        <v>0.125</v>
      </c>
      <c r="E112" s="1843">
        <v>0.12</v>
      </c>
      <c r="F112" s="1844">
        <v>0.125</v>
      </c>
    </row>
    <row r="113" spans="1:6" ht="15" thickBot="1">
      <c r="A113" s="1838" t="s">
        <v>1409</v>
      </c>
      <c r="B113" s="1842" t="s">
        <v>1102</v>
      </c>
      <c r="C113" s="1843">
        <v>0.13</v>
      </c>
      <c r="D113" s="1843">
        <v>0.13</v>
      </c>
      <c r="E113" s="1843">
        <v>0.13</v>
      </c>
      <c r="F113" s="1844">
        <v>0.13</v>
      </c>
    </row>
    <row r="114" spans="1:6" ht="15" thickBot="1">
      <c r="A114" s="1838" t="s">
        <v>1409</v>
      </c>
      <c r="B114" s="1842" t="s">
        <v>1116</v>
      </c>
      <c r="C114" s="1843">
        <v>0.123</v>
      </c>
      <c r="D114" s="1843">
        <v>0.123</v>
      </c>
      <c r="E114" s="1843">
        <v>0.12</v>
      </c>
      <c r="F114" s="1844">
        <v>0.13</v>
      </c>
    </row>
    <row r="115" spans="1:6" ht="15" thickBot="1">
      <c r="A115" s="1838" t="s">
        <v>1409</v>
      </c>
      <c r="B115" s="1842" t="s">
        <v>1127</v>
      </c>
      <c r="C115" s="1843">
        <v>0.125</v>
      </c>
      <c r="D115" s="1843">
        <v>0.125</v>
      </c>
      <c r="E115" s="1843">
        <v>0.11700000000000001</v>
      </c>
      <c r="F115" s="1844">
        <v>0.13</v>
      </c>
    </row>
    <row r="116" spans="1:6" ht="15" thickBot="1">
      <c r="A116" s="1838" t="s">
        <v>1409</v>
      </c>
      <c r="B116" s="1842" t="s">
        <v>1138</v>
      </c>
      <c r="C116" s="1843">
        <v>0.11700000000000001</v>
      </c>
      <c r="D116" s="1843">
        <v>0.11700000000000001</v>
      </c>
      <c r="E116" s="1843">
        <v>8.7999999999999995E-2</v>
      </c>
      <c r="F116" s="1844">
        <v>0.13</v>
      </c>
    </row>
    <row r="117" spans="1:6" ht="15" thickBot="1">
      <c r="A117" s="1838" t="s">
        <v>1409</v>
      </c>
      <c r="B117" s="1842" t="s">
        <v>1149</v>
      </c>
      <c r="C117" s="1843">
        <v>0.13</v>
      </c>
      <c r="D117" s="1843">
        <v>0.13</v>
      </c>
      <c r="E117" s="1843">
        <v>0.129</v>
      </c>
      <c r="F117" s="1844">
        <v>0.13</v>
      </c>
    </row>
    <row r="118" spans="1:6" ht="15" thickBot="1">
      <c r="A118" s="1838" t="s">
        <v>1409</v>
      </c>
      <c r="B118" s="1842" t="s">
        <v>1161</v>
      </c>
      <c r="C118" s="1843">
        <v>0.123</v>
      </c>
      <c r="D118" s="1843">
        <v>0.123</v>
      </c>
      <c r="E118" s="1843">
        <v>0.11600000000000001</v>
      </c>
      <c r="F118" s="1844">
        <v>0.13</v>
      </c>
    </row>
    <row r="119" spans="1:6" ht="15" thickBot="1">
      <c r="A119" s="1838" t="s">
        <v>1409</v>
      </c>
      <c r="B119" s="1842" t="s">
        <v>1171</v>
      </c>
      <c r="C119" s="1843">
        <v>0.127</v>
      </c>
      <c r="D119" s="1843">
        <v>0.127</v>
      </c>
      <c r="E119" s="1843">
        <v>0.124</v>
      </c>
      <c r="F119" s="1844">
        <v>0.13</v>
      </c>
    </row>
    <row r="120" spans="1:6" ht="15" thickBot="1">
      <c r="A120" s="1838" t="s">
        <v>1409</v>
      </c>
      <c r="B120" s="1842" t="s">
        <v>1181</v>
      </c>
      <c r="C120" s="1843">
        <v>0.125</v>
      </c>
      <c r="D120" s="1843">
        <v>0.125</v>
      </c>
      <c r="E120" s="1843">
        <v>0.122</v>
      </c>
      <c r="F120" s="1844">
        <v>0.13</v>
      </c>
    </row>
    <row r="121" spans="1:6" ht="15" thickBot="1">
      <c r="A121" s="1838" t="s">
        <v>1409</v>
      </c>
      <c r="B121" s="1842" t="s">
        <v>1191</v>
      </c>
      <c r="C121" s="1843">
        <v>0.13</v>
      </c>
      <c r="D121" s="1843">
        <v>0.13</v>
      </c>
      <c r="E121" s="1843">
        <v>0.13</v>
      </c>
      <c r="F121" s="1844">
        <v>0.13</v>
      </c>
    </row>
    <row r="122" spans="1:6" ht="15" thickBot="1">
      <c r="A122" s="1838" t="s">
        <v>1409</v>
      </c>
      <c r="B122" s="1842" t="s">
        <v>1201</v>
      </c>
      <c r="C122" s="1843">
        <v>0.13</v>
      </c>
      <c r="D122" s="1843">
        <v>0.13</v>
      </c>
      <c r="E122" s="1843">
        <v>0.125</v>
      </c>
      <c r="F122" s="1844">
        <v>0.13</v>
      </c>
    </row>
    <row r="123" spans="1:6" ht="15" thickBot="1">
      <c r="A123" s="1838" t="s">
        <v>1409</v>
      </c>
      <c r="B123" s="1842" t="s">
        <v>1211</v>
      </c>
      <c r="C123" s="1843">
        <v>0.129</v>
      </c>
      <c r="D123" s="1843">
        <v>0.129</v>
      </c>
      <c r="E123" s="1843">
        <v>0.123</v>
      </c>
      <c r="F123" s="1844">
        <v>0.13</v>
      </c>
    </row>
    <row r="124" spans="1:6" ht="15" thickBot="1">
      <c r="A124" s="1838" t="s">
        <v>1409</v>
      </c>
      <c r="B124" s="1842" t="s">
        <v>1221</v>
      </c>
      <c r="C124" s="1843">
        <v>0.10199999999999999</v>
      </c>
      <c r="D124" s="1843">
        <v>0.10100000000000001</v>
      </c>
      <c r="E124" s="1843">
        <v>0.08</v>
      </c>
      <c r="F124" s="1851"/>
    </row>
    <row r="125" spans="1:6" ht="15" thickBot="1">
      <c r="A125" s="1838" t="s">
        <v>1409</v>
      </c>
      <c r="B125" s="1842" t="s">
        <v>1231</v>
      </c>
      <c r="C125" s="1843">
        <v>0.13</v>
      </c>
      <c r="D125" s="1843">
        <v>0.13</v>
      </c>
      <c r="E125" s="1843">
        <v>0.129</v>
      </c>
      <c r="F125" s="1851"/>
    </row>
    <row r="126" spans="1:6" ht="15" thickBot="1">
      <c r="A126" s="1838" t="s">
        <v>1409</v>
      </c>
      <c r="B126" s="1842" t="s">
        <v>1241</v>
      </c>
      <c r="C126" s="1843">
        <v>0.13</v>
      </c>
      <c r="D126" s="1843">
        <v>0.13</v>
      </c>
      <c r="E126" s="1843">
        <v>0.126</v>
      </c>
      <c r="F126" s="1851"/>
    </row>
    <row r="127" spans="1:6" ht="15" thickBot="1">
      <c r="A127" s="1838" t="s">
        <v>1409</v>
      </c>
      <c r="B127" s="1842" t="s">
        <v>1251</v>
      </c>
      <c r="C127" s="1843">
        <v>0.125</v>
      </c>
      <c r="D127" s="1843">
        <v>0.125</v>
      </c>
      <c r="E127" s="1843">
        <v>0.121</v>
      </c>
      <c r="F127" s="1851"/>
    </row>
    <row r="128" spans="1:6" ht="15" thickBot="1">
      <c r="A128" s="1838" t="s">
        <v>1409</v>
      </c>
      <c r="B128" s="1842" t="s">
        <v>1261</v>
      </c>
      <c r="C128" s="1843">
        <v>0.12</v>
      </c>
      <c r="D128" s="1843">
        <v>0.12</v>
      </c>
      <c r="E128" s="1843">
        <v>0.105</v>
      </c>
      <c r="F128" s="1851"/>
    </row>
    <row r="129" spans="1:6" ht="15" thickBot="1">
      <c r="A129" s="1838" t="s">
        <v>1409</v>
      </c>
      <c r="B129" s="1842" t="s">
        <v>1270</v>
      </c>
      <c r="C129" s="1843">
        <v>0.13</v>
      </c>
      <c r="D129" s="1843">
        <v>0.13</v>
      </c>
      <c r="E129" s="1843">
        <v>0.126</v>
      </c>
      <c r="F129" s="1851"/>
    </row>
    <row r="130" spans="1:6" ht="15" thickBot="1">
      <c r="A130" s="1838" t="s">
        <v>1409</v>
      </c>
      <c r="B130" s="1842" t="s">
        <v>1279</v>
      </c>
      <c r="C130" s="1843">
        <v>0.125</v>
      </c>
      <c r="D130" s="1843">
        <v>0.125</v>
      </c>
      <c r="E130" s="1843">
        <v>0.122</v>
      </c>
      <c r="F130" s="1851"/>
    </row>
    <row r="131" spans="1:6" ht="15" thickBot="1">
      <c r="A131" s="1838" t="s">
        <v>1409</v>
      </c>
      <c r="B131" s="1842" t="s">
        <v>1287</v>
      </c>
      <c r="C131" s="1843">
        <v>0.127</v>
      </c>
      <c r="D131" s="1843">
        <v>0.126</v>
      </c>
      <c r="E131" s="1843">
        <v>0.123</v>
      </c>
      <c r="F131" s="1851"/>
    </row>
    <row r="132" spans="1:6" ht="15" thickBot="1">
      <c r="A132" s="1838" t="s">
        <v>1409</v>
      </c>
      <c r="B132" s="1842" t="s">
        <v>1294</v>
      </c>
      <c r="C132" s="1843">
        <v>9.0999999999999998E-2</v>
      </c>
      <c r="D132" s="1843">
        <v>0.121</v>
      </c>
      <c r="E132" s="1843">
        <v>9.9000000000000005E-2</v>
      </c>
      <c r="F132" s="1851"/>
    </row>
    <row r="133" spans="1:6" ht="15" thickBot="1">
      <c r="A133" s="1838" t="s">
        <v>1409</v>
      </c>
      <c r="B133" s="1842" t="s">
        <v>1301</v>
      </c>
      <c r="C133" s="1843">
        <v>0.13</v>
      </c>
      <c r="D133" s="1843">
        <v>0.13</v>
      </c>
      <c r="E133" s="1843">
        <v>0.129</v>
      </c>
      <c r="F133" s="1851"/>
    </row>
    <row r="134" spans="1:6" ht="15" thickBot="1">
      <c r="A134" s="1838" t="s">
        <v>1409</v>
      </c>
      <c r="B134" s="1842" t="s">
        <v>2104</v>
      </c>
      <c r="C134" s="1843">
        <v>6.8000000000000005E-2</v>
      </c>
      <c r="D134" s="1843">
        <v>6.5000000000000002E-2</v>
      </c>
      <c r="E134" s="1843">
        <v>6.5000000000000002E-2</v>
      </c>
      <c r="F134" s="1844">
        <v>0.13</v>
      </c>
    </row>
    <row r="135" spans="1:6" ht="15" thickBot="1">
      <c r="A135" s="1838" t="s">
        <v>1409</v>
      </c>
      <c r="B135" s="1842" t="s">
        <v>1315</v>
      </c>
      <c r="C135" s="1843">
        <v>0.123</v>
      </c>
      <c r="D135" s="1843">
        <v>0.123</v>
      </c>
      <c r="E135" s="1843">
        <v>0.11</v>
      </c>
      <c r="F135" s="1851"/>
    </row>
    <row r="136" spans="1:6" ht="15" thickBot="1">
      <c r="A136" s="1838" t="s">
        <v>1409</v>
      </c>
      <c r="B136" s="1842" t="s">
        <v>1322</v>
      </c>
      <c r="C136" s="1843">
        <v>0.13</v>
      </c>
      <c r="D136" s="1843">
        <v>0.13</v>
      </c>
      <c r="E136" s="1843">
        <v>0.125</v>
      </c>
      <c r="F136" s="1851"/>
    </row>
    <row r="137" spans="1:6" ht="15" thickBot="1">
      <c r="A137" s="1838" t="s">
        <v>1409</v>
      </c>
      <c r="B137" s="1842" t="s">
        <v>1329</v>
      </c>
      <c r="C137" s="1843">
        <v>0.121</v>
      </c>
      <c r="D137" s="1843">
        <v>0.122</v>
      </c>
      <c r="E137" s="1843">
        <v>0.115</v>
      </c>
      <c r="F137" s="1851"/>
    </row>
    <row r="138" spans="1:6" ht="15" thickBot="1">
      <c r="A138" s="1838" t="s">
        <v>1409</v>
      </c>
      <c r="B138" s="1842" t="s">
        <v>2105</v>
      </c>
      <c r="C138" s="1843">
        <v>0.105</v>
      </c>
      <c r="D138" s="1843">
        <v>0.125</v>
      </c>
      <c r="E138" s="1843">
        <v>0.112</v>
      </c>
      <c r="F138" s="1851"/>
    </row>
    <row r="139" spans="1:6" ht="15" thickBot="1">
      <c r="A139" s="1838" t="s">
        <v>1409</v>
      </c>
      <c r="B139" s="1842" t="s">
        <v>2106</v>
      </c>
      <c r="C139" s="1843">
        <v>0.127</v>
      </c>
      <c r="D139" s="1843">
        <v>0.127</v>
      </c>
      <c r="E139" s="1843">
        <v>0.122</v>
      </c>
      <c r="F139" s="1844">
        <v>0.13</v>
      </c>
    </row>
    <row r="140" spans="1:6" ht="15" thickBot="1">
      <c r="A140" s="1838" t="s">
        <v>1409</v>
      </c>
      <c r="B140" s="1842" t="s">
        <v>2107</v>
      </c>
      <c r="C140" s="1843">
        <v>0.125</v>
      </c>
      <c r="D140" s="1843">
        <v>0.125</v>
      </c>
      <c r="E140" s="1843">
        <v>0.11899999999999999</v>
      </c>
      <c r="F140" s="1844">
        <v>0.13</v>
      </c>
    </row>
    <row r="141" spans="1:6" ht="15" thickBot="1">
      <c r="A141" s="1838" t="s">
        <v>1409</v>
      </c>
      <c r="B141" s="1842" t="s">
        <v>1348</v>
      </c>
      <c r="C141" s="1843">
        <v>0.125</v>
      </c>
      <c r="D141" s="1843">
        <v>0.125</v>
      </c>
      <c r="E141" s="1843">
        <v>0.11700000000000001</v>
      </c>
      <c r="F141" s="1851"/>
    </row>
    <row r="142" spans="1:6" ht="15" thickBot="1">
      <c r="A142" s="1838" t="s">
        <v>1409</v>
      </c>
      <c r="B142" s="1842" t="s">
        <v>1353</v>
      </c>
      <c r="C142" s="1843">
        <v>0.125</v>
      </c>
      <c r="D142" s="1843">
        <v>0.125</v>
      </c>
      <c r="E142" s="1843">
        <v>0.115</v>
      </c>
      <c r="F142" s="1851"/>
    </row>
    <row r="143" spans="1:6" ht="15" thickBot="1">
      <c r="A143" s="1838" t="s">
        <v>1409</v>
      </c>
      <c r="B143" s="1842" t="s">
        <v>1358</v>
      </c>
      <c r="C143" s="1843">
        <v>0.121</v>
      </c>
      <c r="D143" s="1843">
        <v>0.121</v>
      </c>
      <c r="E143" s="1843">
        <v>0.108</v>
      </c>
      <c r="F143" s="1851"/>
    </row>
    <row r="144" spans="1:6" ht="15" thickBot="1">
      <c r="A144" s="1838" t="s">
        <v>1409</v>
      </c>
      <c r="B144" s="1855" t="s">
        <v>2108</v>
      </c>
      <c r="C144" s="1856">
        <v>0.126</v>
      </c>
      <c r="D144" s="1856">
        <v>0.126</v>
      </c>
      <c r="E144" s="1856">
        <v>0.121</v>
      </c>
      <c r="F144" s="1851"/>
    </row>
    <row r="145" spans="1:6" ht="15" thickBot="1">
      <c r="A145" s="1846" t="s">
        <v>1409</v>
      </c>
      <c r="B145" s="1857" t="s">
        <v>2109</v>
      </c>
      <c r="C145" s="1858"/>
      <c r="D145" s="1858"/>
      <c r="E145" s="1858"/>
      <c r="F145" s="1859">
        <v>0.05</v>
      </c>
    </row>
    <row r="146" spans="1:6" ht="24.6" thickBot="1">
      <c r="A146" s="1860" t="s">
        <v>1409</v>
      </c>
      <c r="B146" s="1845" t="s">
        <v>2110</v>
      </c>
      <c r="C146" s="1852"/>
      <c r="D146" s="1852"/>
      <c r="E146" s="1852"/>
      <c r="F146" s="1861">
        <v>0.05</v>
      </c>
    </row>
    <row r="147" spans="1:6" ht="24.6" thickBot="1">
      <c r="A147" s="1838" t="s">
        <v>1409</v>
      </c>
      <c r="B147" s="1842" t="s">
        <v>2111</v>
      </c>
      <c r="C147" s="1852"/>
      <c r="D147" s="1852"/>
      <c r="E147" s="1852"/>
      <c r="F147" s="1844">
        <v>0.05</v>
      </c>
    </row>
    <row r="148" spans="1:6" ht="24.6" thickBot="1">
      <c r="A148" s="1838" t="s">
        <v>1409</v>
      </c>
      <c r="B148" s="1842" t="s">
        <v>2112</v>
      </c>
      <c r="C148" s="1852"/>
      <c r="D148" s="1852"/>
      <c r="E148" s="1852"/>
      <c r="F148" s="1844">
        <v>0.05</v>
      </c>
    </row>
    <row r="149" spans="1:6" ht="24.6" thickBot="1">
      <c r="A149" s="1838" t="s">
        <v>1409</v>
      </c>
      <c r="B149" s="1842" t="s">
        <v>2113</v>
      </c>
      <c r="C149" s="1852"/>
      <c r="D149" s="1852"/>
      <c r="E149" s="1852"/>
      <c r="F149" s="1844">
        <v>0.05</v>
      </c>
    </row>
    <row r="150" spans="1:6" ht="24.6" thickBot="1">
      <c r="A150" s="1838" t="s">
        <v>1409</v>
      </c>
      <c r="B150" s="1842" t="s">
        <v>2114</v>
      </c>
      <c r="C150" s="1852"/>
      <c r="D150" s="1852"/>
      <c r="E150" s="1852"/>
      <c r="F150" s="1844">
        <v>0.05</v>
      </c>
    </row>
    <row r="151" spans="1:6" ht="24.6" thickBot="1">
      <c r="A151" s="1838" t="s">
        <v>1409</v>
      </c>
      <c r="B151" s="1842" t="s">
        <v>2115</v>
      </c>
      <c r="C151" s="1852"/>
      <c r="D151" s="1852"/>
      <c r="E151" s="1852"/>
      <c r="F151" s="1844">
        <v>0.05</v>
      </c>
    </row>
    <row r="152" spans="1:6" ht="24.6" thickBot="1">
      <c r="A152" s="1838" t="s">
        <v>1409</v>
      </c>
      <c r="B152" s="1842" t="s">
        <v>1391</v>
      </c>
      <c r="C152" s="1852"/>
      <c r="D152" s="1852"/>
      <c r="E152" s="1852"/>
      <c r="F152" s="1844">
        <v>0.05</v>
      </c>
    </row>
    <row r="153" spans="1:6" ht="15" thickBot="1">
      <c r="A153" s="1838" t="s">
        <v>1409</v>
      </c>
      <c r="B153" s="1842" t="s">
        <v>2116</v>
      </c>
      <c r="C153" s="1852"/>
      <c r="D153" s="1852"/>
      <c r="E153" s="1852"/>
      <c r="F153" s="1844">
        <v>0.05</v>
      </c>
    </row>
    <row r="154" spans="1:6" ht="15" thickBot="1">
      <c r="A154" s="1838" t="s">
        <v>1409</v>
      </c>
      <c r="B154" s="1842" t="s">
        <v>2117</v>
      </c>
      <c r="C154" s="1852"/>
      <c r="D154" s="1852"/>
      <c r="E154" s="1852"/>
      <c r="F154" s="1844">
        <v>0.05</v>
      </c>
    </row>
    <row r="155" spans="1:6" ht="24.6" thickBot="1">
      <c r="A155" s="1838" t="s">
        <v>1409</v>
      </c>
      <c r="B155" s="1842" t="s">
        <v>2118</v>
      </c>
      <c r="C155" s="1852"/>
      <c r="D155" s="1852"/>
      <c r="E155" s="1852"/>
      <c r="F155" s="1844">
        <v>0.05</v>
      </c>
    </row>
    <row r="156" spans="1:6" ht="24.6" thickBot="1">
      <c r="A156" s="1838" t="s">
        <v>1409</v>
      </c>
      <c r="B156" s="1842" t="s">
        <v>2119</v>
      </c>
      <c r="C156" s="1852"/>
      <c r="D156" s="1852"/>
      <c r="E156" s="1852"/>
      <c r="F156" s="1844">
        <v>0.05</v>
      </c>
    </row>
    <row r="157" spans="1:6" ht="24.6" thickBot="1">
      <c r="A157" s="1846" t="s">
        <v>1409</v>
      </c>
      <c r="B157" s="1853" t="s">
        <v>2120</v>
      </c>
      <c r="C157" s="1849"/>
      <c r="D157" s="1849"/>
      <c r="E157" s="1849"/>
      <c r="F157" s="1854">
        <v>0.05</v>
      </c>
    </row>
    <row r="158" spans="1:6" ht="15" thickBot="1">
      <c r="A158" s="1838" t="s">
        <v>1411</v>
      </c>
      <c r="B158" s="1839" t="s">
        <v>2121</v>
      </c>
      <c r="C158" s="1840">
        <v>0.13</v>
      </c>
      <c r="D158" s="1840">
        <v>0.13</v>
      </c>
      <c r="E158" s="1840">
        <v>0.13</v>
      </c>
      <c r="F158" s="1841">
        <v>0.13</v>
      </c>
    </row>
    <row r="159" spans="1:6" ht="15" thickBot="1">
      <c r="A159" s="1838" t="s">
        <v>1411</v>
      </c>
      <c r="B159" s="1842" t="s">
        <v>1076</v>
      </c>
      <c r="C159" s="1843">
        <v>0.13</v>
      </c>
      <c r="D159" s="1843">
        <v>0.13</v>
      </c>
      <c r="E159" s="1843">
        <v>0.13</v>
      </c>
      <c r="F159" s="1844">
        <v>0.13</v>
      </c>
    </row>
    <row r="160" spans="1:6" ht="15" thickBot="1">
      <c r="A160" s="1838" t="s">
        <v>1411</v>
      </c>
      <c r="B160" s="1842" t="s">
        <v>1090</v>
      </c>
      <c r="C160" s="1843">
        <v>0.13</v>
      </c>
      <c r="D160" s="1843">
        <v>0.13</v>
      </c>
      <c r="E160" s="1843">
        <v>0.129</v>
      </c>
      <c r="F160" s="1844">
        <v>0.13</v>
      </c>
    </row>
    <row r="161" spans="1:6" ht="15" thickBot="1">
      <c r="A161" s="1838" t="s">
        <v>1411</v>
      </c>
      <c r="B161" s="1842" t="s">
        <v>1103</v>
      </c>
      <c r="C161" s="1843">
        <v>0.128</v>
      </c>
      <c r="D161" s="1843">
        <v>0.128</v>
      </c>
      <c r="E161" s="1843">
        <v>0.125</v>
      </c>
      <c r="F161" s="1844">
        <v>0.13</v>
      </c>
    </row>
    <row r="162" spans="1:6" ht="15" thickBot="1">
      <c r="A162" s="1838" t="s">
        <v>1411</v>
      </c>
      <c r="B162" s="1842" t="s">
        <v>1117</v>
      </c>
      <c r="C162" s="1843">
        <v>0.122</v>
      </c>
      <c r="D162" s="1843">
        <v>0.122</v>
      </c>
      <c r="E162" s="1843">
        <v>0.126</v>
      </c>
      <c r="F162" s="1844">
        <v>0.122</v>
      </c>
    </row>
    <row r="163" spans="1:6" ht="15" thickBot="1">
      <c r="A163" s="1838" t="s">
        <v>1411</v>
      </c>
      <c r="B163" s="1842" t="s">
        <v>1128</v>
      </c>
      <c r="C163" s="1843">
        <v>0.13</v>
      </c>
      <c r="D163" s="1843">
        <v>0.13</v>
      </c>
      <c r="E163" s="1843">
        <v>0.125</v>
      </c>
      <c r="F163" s="1844">
        <v>0.13</v>
      </c>
    </row>
    <row r="164" spans="1:6" ht="15" thickBot="1">
      <c r="A164" s="1838" t="s">
        <v>1411</v>
      </c>
      <c r="B164" s="1842" t="s">
        <v>1139</v>
      </c>
      <c r="C164" s="1843">
        <v>0.13</v>
      </c>
      <c r="D164" s="1843">
        <v>0.13</v>
      </c>
      <c r="E164" s="1843">
        <v>0.13</v>
      </c>
      <c r="F164" s="1844">
        <v>0.13</v>
      </c>
    </row>
    <row r="165" spans="1:6" ht="15" thickBot="1">
      <c r="A165" s="1838" t="s">
        <v>1411</v>
      </c>
      <c r="B165" s="1842" t="s">
        <v>1150</v>
      </c>
      <c r="C165" s="1843">
        <v>0.13</v>
      </c>
      <c r="D165" s="1843">
        <v>0.13</v>
      </c>
      <c r="E165" s="1843">
        <v>0.124</v>
      </c>
      <c r="F165" s="1844">
        <v>0.13</v>
      </c>
    </row>
    <row r="166" spans="1:6" ht="15" thickBot="1">
      <c r="A166" s="1838" t="s">
        <v>1411</v>
      </c>
      <c r="B166" s="1842" t="s">
        <v>1162</v>
      </c>
      <c r="C166" s="1843">
        <v>0.13</v>
      </c>
      <c r="D166" s="1843">
        <v>0.13</v>
      </c>
      <c r="E166" s="1843">
        <v>0.13</v>
      </c>
      <c r="F166" s="1844">
        <v>0.13</v>
      </c>
    </row>
    <row r="167" spans="1:6" ht="15" thickBot="1">
      <c r="A167" s="1838" t="s">
        <v>1411</v>
      </c>
      <c r="B167" s="1842" t="s">
        <v>1172</v>
      </c>
      <c r="C167" s="1843">
        <v>0.125</v>
      </c>
      <c r="D167" s="1843">
        <v>0.125</v>
      </c>
      <c r="E167" s="1843">
        <v>0.121</v>
      </c>
      <c r="F167" s="1851"/>
    </row>
    <row r="168" spans="1:6" ht="15" thickBot="1">
      <c r="A168" s="1838" t="s">
        <v>1411</v>
      </c>
      <c r="B168" s="1842" t="s">
        <v>1182</v>
      </c>
      <c r="C168" s="1843">
        <v>0.13</v>
      </c>
      <c r="D168" s="1843">
        <v>0.13</v>
      </c>
      <c r="E168" s="1843">
        <v>0.126</v>
      </c>
      <c r="F168" s="1851"/>
    </row>
    <row r="169" spans="1:6" ht="15" thickBot="1">
      <c r="A169" s="1838" t="s">
        <v>1411</v>
      </c>
      <c r="B169" s="1842" t="s">
        <v>1192</v>
      </c>
      <c r="C169" s="1843">
        <v>0.128</v>
      </c>
      <c r="D169" s="1843">
        <v>0.129</v>
      </c>
      <c r="E169" s="1843">
        <v>0.13</v>
      </c>
      <c r="F169" s="1851"/>
    </row>
    <row r="170" spans="1:6" ht="15" thickBot="1">
      <c r="A170" s="1838" t="s">
        <v>1411</v>
      </c>
      <c r="B170" s="1842" t="s">
        <v>1202</v>
      </c>
      <c r="C170" s="1843">
        <v>0.14099999999999999</v>
      </c>
      <c r="D170" s="1843">
        <v>0.13</v>
      </c>
      <c r="E170" s="1843">
        <v>0.125</v>
      </c>
      <c r="F170" s="1851"/>
    </row>
    <row r="171" spans="1:6" ht="15" thickBot="1">
      <c r="A171" s="1838" t="s">
        <v>1411</v>
      </c>
      <c r="B171" s="1842" t="s">
        <v>2122</v>
      </c>
      <c r="C171" s="1843">
        <v>0.127</v>
      </c>
      <c r="D171" s="1843">
        <v>0.126</v>
      </c>
      <c r="E171" s="1843">
        <v>0.126</v>
      </c>
      <c r="F171" s="1844">
        <v>0.11799999999999999</v>
      </c>
    </row>
    <row r="172" spans="1:6" ht="15" thickBot="1">
      <c r="A172" s="1838" t="s">
        <v>1411</v>
      </c>
      <c r="B172" s="1842" t="s">
        <v>2123</v>
      </c>
      <c r="C172" s="1843">
        <v>0.13</v>
      </c>
      <c r="D172" s="1843">
        <v>0.13</v>
      </c>
      <c r="E172" s="1843">
        <v>0.13</v>
      </c>
      <c r="F172" s="1851"/>
    </row>
    <row r="173" spans="1:6" ht="15" thickBot="1">
      <c r="A173" s="1838" t="s">
        <v>1411</v>
      </c>
      <c r="B173" s="1842" t="s">
        <v>1232</v>
      </c>
      <c r="C173" s="1843">
        <v>0.13</v>
      </c>
      <c r="D173" s="1843">
        <v>0.13</v>
      </c>
      <c r="E173" s="1843">
        <v>0.13</v>
      </c>
      <c r="F173" s="1851"/>
    </row>
    <row r="174" spans="1:6" ht="15" thickBot="1">
      <c r="A174" s="1838" t="s">
        <v>1411</v>
      </c>
      <c r="B174" s="1842" t="s">
        <v>2124</v>
      </c>
      <c r="C174" s="1843">
        <v>0.13</v>
      </c>
      <c r="D174" s="1843">
        <v>0.13</v>
      </c>
      <c r="E174" s="1843">
        <v>0.13</v>
      </c>
      <c r="F174" s="1844">
        <v>0.13</v>
      </c>
    </row>
    <row r="175" spans="1:6" ht="15" thickBot="1">
      <c r="A175" s="1838" t="s">
        <v>1411</v>
      </c>
      <c r="B175" s="1842" t="s">
        <v>2125</v>
      </c>
      <c r="C175" s="1843">
        <v>0.13</v>
      </c>
      <c r="D175" s="1843">
        <v>0.13</v>
      </c>
      <c r="E175" s="1843">
        <v>0.13</v>
      </c>
      <c r="F175" s="1844">
        <v>0.13</v>
      </c>
    </row>
    <row r="176" spans="1:6" ht="15" thickBot="1">
      <c r="A176" s="1838" t="s">
        <v>1411</v>
      </c>
      <c r="B176" s="1842" t="s">
        <v>1262</v>
      </c>
      <c r="C176" s="1843">
        <v>0.13</v>
      </c>
      <c r="D176" s="1843">
        <v>0.13</v>
      </c>
      <c r="E176" s="1843">
        <v>0.13</v>
      </c>
      <c r="F176" s="1844">
        <v>0.13</v>
      </c>
    </row>
    <row r="177" spans="1:6" ht="15" thickBot="1">
      <c r="A177" s="1838" t="s">
        <v>1411</v>
      </c>
      <c r="B177" s="1842" t="s">
        <v>2126</v>
      </c>
      <c r="C177" s="1843">
        <v>0.13</v>
      </c>
      <c r="D177" s="1843">
        <v>0.13</v>
      </c>
      <c r="E177" s="1843">
        <v>0.13</v>
      </c>
      <c r="F177" s="1844">
        <v>0.13</v>
      </c>
    </row>
    <row r="178" spans="1:6" ht="15" thickBot="1">
      <c r="A178" s="1838" t="s">
        <v>1411</v>
      </c>
      <c r="B178" s="1842" t="s">
        <v>1280</v>
      </c>
      <c r="C178" s="1843">
        <v>0.13</v>
      </c>
      <c r="D178" s="1843">
        <v>0.13</v>
      </c>
      <c r="E178" s="1843">
        <v>0.13</v>
      </c>
      <c r="F178" s="1844">
        <v>0.127</v>
      </c>
    </row>
    <row r="179" spans="1:6" ht="15" thickBot="1">
      <c r="A179" s="1838" t="s">
        <v>1411</v>
      </c>
      <c r="B179" s="1842" t="s">
        <v>1288</v>
      </c>
      <c r="C179" s="1843">
        <v>0.13</v>
      </c>
      <c r="D179" s="1843">
        <v>0.13</v>
      </c>
      <c r="E179" s="1843">
        <v>0.13</v>
      </c>
      <c r="F179" s="1851"/>
    </row>
    <row r="180" spans="1:6" ht="15" thickBot="1">
      <c r="A180" s="1838" t="s">
        <v>1411</v>
      </c>
      <c r="B180" s="1842" t="s">
        <v>2127</v>
      </c>
      <c r="C180" s="1843">
        <v>0.13</v>
      </c>
      <c r="D180" s="1843">
        <v>0.13</v>
      </c>
      <c r="E180" s="1843">
        <v>0.125</v>
      </c>
      <c r="F180" s="1844">
        <v>0.13</v>
      </c>
    </row>
    <row r="181" spans="1:6" ht="15" thickBot="1">
      <c r="A181" s="1838" t="s">
        <v>1411</v>
      </c>
      <c r="B181" s="1842" t="s">
        <v>1302</v>
      </c>
      <c r="C181" s="1843">
        <v>0.122</v>
      </c>
      <c r="D181" s="1843">
        <v>0.123</v>
      </c>
      <c r="E181" s="1843">
        <v>0.126</v>
      </c>
      <c r="F181" s="1844">
        <v>0.121</v>
      </c>
    </row>
    <row r="182" spans="1:6" ht="15" thickBot="1">
      <c r="A182" s="1838" t="s">
        <v>1411</v>
      </c>
      <c r="B182" s="1842" t="s">
        <v>1309</v>
      </c>
      <c r="C182" s="1843">
        <v>0.125</v>
      </c>
      <c r="D182" s="1843">
        <v>0.125</v>
      </c>
      <c r="E182" s="1843">
        <v>0.11700000000000001</v>
      </c>
      <c r="F182" s="1844">
        <v>0.13</v>
      </c>
    </row>
    <row r="183" spans="1:6" ht="15" thickBot="1">
      <c r="A183" s="1838" t="s">
        <v>1411</v>
      </c>
      <c r="B183" s="1842" t="s">
        <v>1316</v>
      </c>
      <c r="C183" s="1843">
        <v>0.127</v>
      </c>
      <c r="D183" s="1843">
        <v>0.127</v>
      </c>
      <c r="E183" s="1843">
        <v>0.128</v>
      </c>
      <c r="F183" s="1851"/>
    </row>
    <row r="184" spans="1:6" ht="15" thickBot="1">
      <c r="A184" s="1838" t="s">
        <v>1411</v>
      </c>
      <c r="B184" s="1842" t="s">
        <v>1323</v>
      </c>
      <c r="C184" s="1843">
        <v>0.125</v>
      </c>
      <c r="D184" s="1843">
        <v>0.125</v>
      </c>
      <c r="E184" s="1843">
        <v>0.127</v>
      </c>
      <c r="F184" s="1851"/>
    </row>
    <row r="185" spans="1:6" ht="15" thickBot="1">
      <c r="A185" s="1838" t="s">
        <v>1411</v>
      </c>
      <c r="B185" s="1842" t="s">
        <v>2128</v>
      </c>
      <c r="C185" s="1843">
        <v>0.127</v>
      </c>
      <c r="D185" s="1843">
        <v>0.127</v>
      </c>
      <c r="E185" s="1843">
        <v>0.128</v>
      </c>
      <c r="F185" s="1844">
        <v>0.13</v>
      </c>
    </row>
    <row r="186" spans="1:6" ht="24.6" thickBot="1">
      <c r="A186" s="1838" t="s">
        <v>1411</v>
      </c>
      <c r="B186" s="1842" t="s">
        <v>2129</v>
      </c>
      <c r="C186" s="1852"/>
      <c r="D186" s="1852"/>
      <c r="E186" s="1852"/>
      <c r="F186" s="1844">
        <v>0.05</v>
      </c>
    </row>
    <row r="187" spans="1:6" ht="15" thickBot="1">
      <c r="A187" s="1838" t="s">
        <v>1411</v>
      </c>
      <c r="B187" s="1842" t="s">
        <v>2130</v>
      </c>
      <c r="C187" s="1852"/>
      <c r="D187" s="1852"/>
      <c r="E187" s="1852"/>
      <c r="F187" s="1844">
        <v>0.05</v>
      </c>
    </row>
    <row r="188" spans="1:6" ht="24.6" thickBot="1">
      <c r="A188" s="1838" t="s">
        <v>1411</v>
      </c>
      <c r="B188" s="1842" t="s">
        <v>2131</v>
      </c>
      <c r="C188" s="1852"/>
      <c r="D188" s="1852"/>
      <c r="E188" s="1852"/>
      <c r="F188" s="1844">
        <v>0.05</v>
      </c>
    </row>
    <row r="189" spans="1:6" ht="24.6" thickBot="1">
      <c r="A189" s="1838" t="s">
        <v>1411</v>
      </c>
      <c r="B189" s="1842" t="s">
        <v>2132</v>
      </c>
      <c r="C189" s="1852"/>
      <c r="D189" s="1852"/>
      <c r="E189" s="1852"/>
      <c r="F189" s="1844">
        <v>0.05</v>
      </c>
    </row>
    <row r="190" spans="1:6" ht="24.6" thickBot="1">
      <c r="A190" s="1838" t="s">
        <v>1411</v>
      </c>
      <c r="B190" s="1842" t="s">
        <v>2133</v>
      </c>
      <c r="C190" s="1852"/>
      <c r="D190" s="1852"/>
      <c r="E190" s="1852"/>
      <c r="F190" s="1844">
        <v>0.05</v>
      </c>
    </row>
    <row r="191" spans="1:6" ht="24.6" thickBot="1">
      <c r="A191" s="1838" t="s">
        <v>1411</v>
      </c>
      <c r="B191" s="1842" t="s">
        <v>2134</v>
      </c>
      <c r="C191" s="1852"/>
      <c r="D191" s="1852"/>
      <c r="E191" s="1852"/>
      <c r="F191" s="1844">
        <v>0.05</v>
      </c>
    </row>
    <row r="192" spans="1:6" ht="24.6" thickBot="1">
      <c r="A192" s="1838" t="s">
        <v>1411</v>
      </c>
      <c r="B192" s="1842" t="s">
        <v>2135</v>
      </c>
      <c r="C192" s="1852"/>
      <c r="D192" s="1852"/>
      <c r="E192" s="1852"/>
      <c r="F192" s="1844">
        <v>0.05</v>
      </c>
    </row>
    <row r="193" spans="1:6" ht="24.6" thickBot="1">
      <c r="A193" s="1838" t="s">
        <v>1411</v>
      </c>
      <c r="B193" s="1842" t="s">
        <v>2136</v>
      </c>
      <c r="C193" s="1852"/>
      <c r="D193" s="1852"/>
      <c r="E193" s="1852"/>
      <c r="F193" s="1844">
        <v>0.05</v>
      </c>
    </row>
    <row r="194" spans="1:6" ht="24.6" thickBot="1">
      <c r="A194" s="1838" t="s">
        <v>1411</v>
      </c>
      <c r="B194" s="1842" t="s">
        <v>2137</v>
      </c>
      <c r="C194" s="1852"/>
      <c r="D194" s="1852"/>
      <c r="E194" s="1852"/>
      <c r="F194" s="1844">
        <v>0.05</v>
      </c>
    </row>
    <row r="195" spans="1:6" ht="15" thickBot="1">
      <c r="A195" s="1838" t="s">
        <v>1411</v>
      </c>
      <c r="B195" s="1842" t="s">
        <v>2138</v>
      </c>
      <c r="C195" s="1852"/>
      <c r="D195" s="1852"/>
      <c r="E195" s="1852"/>
      <c r="F195" s="1844">
        <v>0.05</v>
      </c>
    </row>
    <row r="196" spans="1:6" ht="24.6" thickBot="1">
      <c r="A196" s="1838" t="s">
        <v>1411</v>
      </c>
      <c r="B196" s="1842" t="s">
        <v>2139</v>
      </c>
      <c r="C196" s="1852"/>
      <c r="D196" s="1852"/>
      <c r="E196" s="1852"/>
      <c r="F196" s="1844">
        <v>0.05</v>
      </c>
    </row>
    <row r="197" spans="1:6" ht="24.6" thickBot="1">
      <c r="A197" s="1838" t="s">
        <v>1411</v>
      </c>
      <c r="B197" s="1842" t="s">
        <v>2140</v>
      </c>
      <c r="C197" s="1852"/>
      <c r="D197" s="1852"/>
      <c r="E197" s="1852"/>
      <c r="F197" s="1844">
        <v>0.05</v>
      </c>
    </row>
    <row r="198" spans="1:6" ht="24.6" thickBot="1">
      <c r="A198" s="1838" t="s">
        <v>1411</v>
      </c>
      <c r="B198" s="1842" t="s">
        <v>2141</v>
      </c>
      <c r="C198" s="1852"/>
      <c r="D198" s="1852"/>
      <c r="E198" s="1852"/>
      <c r="F198" s="1844">
        <v>0.05</v>
      </c>
    </row>
    <row r="199" spans="1:6" ht="24.6" thickBot="1">
      <c r="A199" s="1838" t="s">
        <v>1411</v>
      </c>
      <c r="B199" s="1842" t="s">
        <v>2142</v>
      </c>
      <c r="C199" s="1852"/>
      <c r="D199" s="1852"/>
      <c r="E199" s="1852"/>
      <c r="F199" s="1844">
        <v>0.05</v>
      </c>
    </row>
    <row r="200" spans="1:6" ht="24.6" thickBot="1">
      <c r="A200" s="1838" t="s">
        <v>1411</v>
      </c>
      <c r="B200" s="1842" t="s">
        <v>2143</v>
      </c>
      <c r="C200" s="1852"/>
      <c r="D200" s="1852"/>
      <c r="E200" s="1852"/>
      <c r="F200" s="1844">
        <v>0.05</v>
      </c>
    </row>
    <row r="201" spans="1:6" ht="24.6" thickBot="1">
      <c r="A201" s="1838" t="s">
        <v>1411</v>
      </c>
      <c r="B201" s="1842" t="s">
        <v>2144</v>
      </c>
      <c r="C201" s="1852"/>
      <c r="D201" s="1852"/>
      <c r="E201" s="1852"/>
      <c r="F201" s="1844">
        <v>0.05</v>
      </c>
    </row>
    <row r="202" spans="1:6" ht="24.6" thickBot="1">
      <c r="A202" s="1838" t="s">
        <v>1411</v>
      </c>
      <c r="B202" s="1842" t="s">
        <v>2145</v>
      </c>
      <c r="C202" s="1852"/>
      <c r="D202" s="1852"/>
      <c r="E202" s="1852"/>
      <c r="F202" s="1844">
        <v>0.05</v>
      </c>
    </row>
    <row r="203" spans="1:6" ht="24.6" thickBot="1">
      <c r="A203" s="1838" t="s">
        <v>1411</v>
      </c>
      <c r="B203" s="1842" t="s">
        <v>2146</v>
      </c>
      <c r="C203" s="1852"/>
      <c r="D203" s="1852"/>
      <c r="E203" s="1852"/>
      <c r="F203" s="1844">
        <v>0.05</v>
      </c>
    </row>
    <row r="204" spans="1:6" ht="15" thickBot="1">
      <c r="A204" s="1838" t="s">
        <v>1411</v>
      </c>
      <c r="B204" s="1842" t="s">
        <v>2147</v>
      </c>
      <c r="C204" s="1852"/>
      <c r="D204" s="1852"/>
      <c r="E204" s="1852"/>
      <c r="F204" s="1844">
        <v>0.05</v>
      </c>
    </row>
    <row r="205" spans="1:6" ht="15" thickBot="1">
      <c r="A205" s="1846" t="s">
        <v>1411</v>
      </c>
      <c r="B205" s="1853" t="s">
        <v>2148</v>
      </c>
      <c r="C205" s="1849"/>
      <c r="D205" s="1849"/>
      <c r="E205" s="1849"/>
      <c r="F205" s="1854">
        <v>0.05</v>
      </c>
    </row>
    <row r="206" spans="1:6" ht="15" thickBot="1">
      <c r="A206" s="1838" t="s">
        <v>1413</v>
      </c>
      <c r="B206" s="1839" t="s">
        <v>2149</v>
      </c>
      <c r="C206" s="1840">
        <v>0.15</v>
      </c>
      <c r="D206" s="1840">
        <v>0.15</v>
      </c>
      <c r="E206" s="1840">
        <v>0.15</v>
      </c>
      <c r="F206" s="1841">
        <v>0.15</v>
      </c>
    </row>
    <row r="207" spans="1:6" ht="15" thickBot="1">
      <c r="A207" s="1838" t="s">
        <v>1413</v>
      </c>
      <c r="B207" s="1842" t="s">
        <v>1077</v>
      </c>
      <c r="C207" s="1843">
        <v>0.15</v>
      </c>
      <c r="D207" s="1843">
        <v>0.15</v>
      </c>
      <c r="E207" s="1843">
        <v>0.15</v>
      </c>
      <c r="F207" s="1844">
        <v>0.14399999999999999</v>
      </c>
    </row>
    <row r="208" spans="1:6" ht="15" thickBot="1">
      <c r="A208" s="1838" t="s">
        <v>1413</v>
      </c>
      <c r="B208" s="1842" t="s">
        <v>1091</v>
      </c>
      <c r="C208" s="1843">
        <v>0.15</v>
      </c>
      <c r="D208" s="1843">
        <v>0.15</v>
      </c>
      <c r="E208" s="1843">
        <v>0.15</v>
      </c>
      <c r="F208" s="1844">
        <v>0.15</v>
      </c>
    </row>
    <row r="209" spans="1:6" ht="15" thickBot="1">
      <c r="A209" s="1838" t="s">
        <v>1413</v>
      </c>
      <c r="B209" s="1842" t="s">
        <v>1104</v>
      </c>
      <c r="C209" s="1843">
        <v>0.13700000000000001</v>
      </c>
      <c r="D209" s="1843">
        <v>0.13700000000000001</v>
      </c>
      <c r="E209" s="1843">
        <v>0.14000000000000001</v>
      </c>
      <c r="F209" s="1844">
        <v>0.11700000000000001</v>
      </c>
    </row>
    <row r="210" spans="1:6" ht="15" thickBot="1">
      <c r="A210" s="1838" t="s">
        <v>1413</v>
      </c>
      <c r="B210" s="1842" t="s">
        <v>2150</v>
      </c>
      <c r="C210" s="1843">
        <v>0.15</v>
      </c>
      <c r="D210" s="1843">
        <v>0.15</v>
      </c>
      <c r="E210" s="1843">
        <v>0.15</v>
      </c>
      <c r="F210" s="1844">
        <v>0.13800000000000001</v>
      </c>
    </row>
    <row r="211" spans="1:6" ht="15" thickBot="1">
      <c r="A211" s="1838" t="s">
        <v>1413</v>
      </c>
      <c r="B211" s="1842" t="s">
        <v>2151</v>
      </c>
      <c r="C211" s="1843">
        <v>0.13700000000000001</v>
      </c>
      <c r="D211" s="1843">
        <v>0.13500000000000001</v>
      </c>
      <c r="E211" s="1843">
        <v>0.13600000000000001</v>
      </c>
      <c r="F211" s="1844">
        <v>0.1</v>
      </c>
    </row>
    <row r="212" spans="1:6" ht="15" thickBot="1">
      <c r="A212" s="1838" t="s">
        <v>1413</v>
      </c>
      <c r="B212" s="1842" t="s">
        <v>2152</v>
      </c>
      <c r="C212" s="1843">
        <v>0.15</v>
      </c>
      <c r="D212" s="1843">
        <v>0.15</v>
      </c>
      <c r="E212" s="1843">
        <v>0.14799999999999999</v>
      </c>
      <c r="F212" s="1844">
        <v>0.13600000000000001</v>
      </c>
    </row>
    <row r="213" spans="1:6" ht="15" thickBot="1">
      <c r="A213" s="1838" t="s">
        <v>1413</v>
      </c>
      <c r="B213" s="1842" t="s">
        <v>1151</v>
      </c>
      <c r="C213" s="1843">
        <v>0.15</v>
      </c>
      <c r="D213" s="1843">
        <v>0.15</v>
      </c>
      <c r="E213" s="1843">
        <v>0.15</v>
      </c>
      <c r="F213" s="1844">
        <v>0.13800000000000001</v>
      </c>
    </row>
    <row r="214" spans="1:6" ht="15" thickBot="1">
      <c r="A214" s="1838" t="s">
        <v>1413</v>
      </c>
      <c r="B214" s="1842" t="s">
        <v>1163</v>
      </c>
      <c r="C214" s="1843">
        <v>9.0999999999999998E-2</v>
      </c>
      <c r="D214" s="1843">
        <v>0.09</v>
      </c>
      <c r="E214" s="1843">
        <v>9.1999999999999998E-2</v>
      </c>
      <c r="F214" s="1851"/>
    </row>
    <row r="215" spans="1:6" ht="15" thickBot="1">
      <c r="A215" s="1838" t="s">
        <v>1413</v>
      </c>
      <c r="B215" s="1842" t="s">
        <v>2153</v>
      </c>
      <c r="C215" s="1843">
        <v>0.15</v>
      </c>
      <c r="D215" s="1843">
        <v>0.15</v>
      </c>
      <c r="E215" s="1843">
        <v>0.15</v>
      </c>
      <c r="F215" s="1844">
        <v>0.15</v>
      </c>
    </row>
    <row r="216" spans="1:6" ht="15" thickBot="1">
      <c r="A216" s="1838" t="s">
        <v>1413</v>
      </c>
      <c r="B216" s="1842" t="s">
        <v>1183</v>
      </c>
      <c r="C216" s="1843">
        <v>0.14699999999999999</v>
      </c>
      <c r="D216" s="1843">
        <v>0.14699999999999999</v>
      </c>
      <c r="E216" s="1843">
        <v>0.15</v>
      </c>
      <c r="F216" s="1844">
        <v>0.14000000000000001</v>
      </c>
    </row>
    <row r="217" spans="1:6" ht="15" thickBot="1">
      <c r="A217" s="1838" t="s">
        <v>1413</v>
      </c>
      <c r="B217" s="1842" t="s">
        <v>1193</v>
      </c>
      <c r="C217" s="1843">
        <v>0.15</v>
      </c>
      <c r="D217" s="1843">
        <v>0.15</v>
      </c>
      <c r="E217" s="1843">
        <v>0.15</v>
      </c>
      <c r="F217" s="1844">
        <v>0.15</v>
      </c>
    </row>
    <row r="218" spans="1:6" ht="15" thickBot="1">
      <c r="A218" s="1838" t="s">
        <v>1413</v>
      </c>
      <c r="B218" s="1842" t="s">
        <v>2154</v>
      </c>
      <c r="C218" s="1843">
        <v>0.15</v>
      </c>
      <c r="D218" s="1843">
        <v>0.15</v>
      </c>
      <c r="E218" s="1843">
        <v>0.15</v>
      </c>
      <c r="F218" s="1844">
        <v>0.15</v>
      </c>
    </row>
    <row r="219" spans="1:6" ht="15" thickBot="1">
      <c r="A219" s="1838" t="s">
        <v>1413</v>
      </c>
      <c r="B219" s="1842" t="s">
        <v>1213</v>
      </c>
      <c r="C219" s="1843">
        <v>0.15</v>
      </c>
      <c r="D219" s="1843">
        <v>0.15</v>
      </c>
      <c r="E219" s="1843">
        <v>0.15</v>
      </c>
      <c r="F219" s="1844">
        <v>0.14799999999999999</v>
      </c>
    </row>
    <row r="220" spans="1:6" ht="15" thickBot="1">
      <c r="A220" s="1838" t="s">
        <v>1413</v>
      </c>
      <c r="B220" s="1842" t="s">
        <v>2155</v>
      </c>
      <c r="C220" s="1843">
        <v>0.15</v>
      </c>
      <c r="D220" s="1843">
        <v>0.15</v>
      </c>
      <c r="E220" s="1843">
        <v>0.15</v>
      </c>
      <c r="F220" s="1844">
        <v>0.15</v>
      </c>
    </row>
    <row r="221" spans="1:6" ht="15" thickBot="1">
      <c r="A221" s="1838" t="s">
        <v>1413</v>
      </c>
      <c r="B221" s="1842" t="s">
        <v>1233</v>
      </c>
      <c r="C221" s="1843"/>
      <c r="D221" s="1852"/>
      <c r="E221" s="1852"/>
      <c r="F221" s="1844">
        <v>0.14799999999999999</v>
      </c>
    </row>
    <row r="222" spans="1:6" ht="15" thickBot="1">
      <c r="A222" s="1838" t="s">
        <v>1413</v>
      </c>
      <c r="B222" s="1842" t="s">
        <v>1243</v>
      </c>
      <c r="C222" s="1843"/>
      <c r="D222" s="1852"/>
      <c r="E222" s="1852"/>
      <c r="F222" s="1844">
        <v>0.1</v>
      </c>
    </row>
    <row r="223" spans="1:6" ht="15" thickBot="1">
      <c r="A223" s="1838" t="s">
        <v>1413</v>
      </c>
      <c r="B223" s="1842" t="s">
        <v>1253</v>
      </c>
      <c r="C223" s="1843"/>
      <c r="D223" s="1852"/>
      <c r="E223" s="1852"/>
      <c r="F223" s="1844">
        <v>0.15</v>
      </c>
    </row>
    <row r="224" spans="1:6" ht="15" thickBot="1">
      <c r="A224" s="1838" t="s">
        <v>1413</v>
      </c>
      <c r="B224" s="1842" t="s">
        <v>1263</v>
      </c>
      <c r="C224" s="1843"/>
      <c r="D224" s="1852"/>
      <c r="E224" s="1852"/>
      <c r="F224" s="1844">
        <v>0.15</v>
      </c>
    </row>
    <row r="225" spans="1:6" ht="15" thickBot="1">
      <c r="A225" s="1838" t="s">
        <v>1413</v>
      </c>
      <c r="B225" s="1842" t="s">
        <v>2156</v>
      </c>
      <c r="C225" s="1843">
        <v>0.15</v>
      </c>
      <c r="D225" s="1843">
        <v>0.15</v>
      </c>
      <c r="E225" s="1843">
        <v>0.15</v>
      </c>
      <c r="F225" s="1844">
        <v>0.15</v>
      </c>
    </row>
    <row r="226" spans="1:6" ht="15" thickBot="1">
      <c r="A226" s="1838" t="s">
        <v>1413</v>
      </c>
      <c r="B226" s="1842" t="s">
        <v>1281</v>
      </c>
      <c r="C226" s="1843">
        <v>0.15</v>
      </c>
      <c r="D226" s="1843">
        <v>0.15</v>
      </c>
      <c r="E226" s="1843">
        <v>0.15</v>
      </c>
      <c r="F226" s="1844">
        <v>0.14799999999999999</v>
      </c>
    </row>
    <row r="227" spans="1:6" ht="15" thickBot="1">
      <c r="A227" s="1838" t="s">
        <v>1413</v>
      </c>
      <c r="B227" s="1842" t="s">
        <v>2157</v>
      </c>
      <c r="C227" s="1843">
        <v>0.15</v>
      </c>
      <c r="D227" s="1843">
        <v>0.15</v>
      </c>
      <c r="E227" s="1843">
        <v>0.15</v>
      </c>
      <c r="F227" s="1844">
        <v>0.15</v>
      </c>
    </row>
    <row r="228" spans="1:6" ht="15" thickBot="1">
      <c r="A228" s="1838" t="s">
        <v>1413</v>
      </c>
      <c r="B228" s="1842" t="s">
        <v>1296</v>
      </c>
      <c r="C228" s="1843">
        <v>0.15</v>
      </c>
      <c r="D228" s="1843">
        <v>0.15</v>
      </c>
      <c r="E228" s="1843">
        <v>0.15</v>
      </c>
      <c r="F228" s="1844">
        <v>0.15</v>
      </c>
    </row>
    <row r="229" spans="1:6" ht="15" thickBot="1">
      <c r="A229" s="1838" t="s">
        <v>1413</v>
      </c>
      <c r="B229" s="1842" t="s">
        <v>1303</v>
      </c>
      <c r="C229" s="1843">
        <v>0.15</v>
      </c>
      <c r="D229" s="1843">
        <v>0.15</v>
      </c>
      <c r="E229" s="1843">
        <v>0.15</v>
      </c>
      <c r="F229" s="1851"/>
    </row>
    <row r="230" spans="1:6" ht="15" thickBot="1">
      <c r="A230" s="1838" t="s">
        <v>1413</v>
      </c>
      <c r="B230" s="1842" t="s">
        <v>1310</v>
      </c>
      <c r="C230" s="1843">
        <v>0.14499999999999999</v>
      </c>
      <c r="D230" s="1843">
        <v>0.14499999999999999</v>
      </c>
      <c r="E230" s="1843">
        <v>0.14399999999999999</v>
      </c>
      <c r="F230" s="1851"/>
    </row>
    <row r="231" spans="1:6" ht="15" thickBot="1">
      <c r="A231" s="1838" t="s">
        <v>1413</v>
      </c>
      <c r="B231" s="1842" t="s">
        <v>2158</v>
      </c>
      <c r="C231" s="1843">
        <v>0.128</v>
      </c>
      <c r="D231" s="1843">
        <v>0.125</v>
      </c>
      <c r="E231" s="1843">
        <v>0.13200000000000001</v>
      </c>
      <c r="F231" s="1851"/>
    </row>
    <row r="232" spans="1:6" ht="15" thickBot="1">
      <c r="A232" s="1838" t="s">
        <v>1413</v>
      </c>
      <c r="B232" s="1842" t="s">
        <v>2159</v>
      </c>
      <c r="C232" s="1843">
        <v>0.14499999999999999</v>
      </c>
      <c r="D232" s="1843">
        <v>0.14399999999999999</v>
      </c>
      <c r="E232" s="1843">
        <v>0.14599999999999999</v>
      </c>
      <c r="F232" s="1844">
        <v>0.13800000000000001</v>
      </c>
    </row>
    <row r="233" spans="1:6" ht="15" thickBot="1">
      <c r="A233" s="1838" t="s">
        <v>1413</v>
      </c>
      <c r="B233" s="1842" t="s">
        <v>2160</v>
      </c>
      <c r="C233" s="1843">
        <v>0.14499999999999999</v>
      </c>
      <c r="D233" s="1843">
        <v>0.14299999999999999</v>
      </c>
      <c r="E233" s="1843">
        <v>0.14199999999999999</v>
      </c>
      <c r="F233" s="1851"/>
    </row>
    <row r="234" spans="1:6" ht="15" thickBot="1">
      <c r="A234" s="1838" t="s">
        <v>1413</v>
      </c>
      <c r="B234" s="1842" t="s">
        <v>2161</v>
      </c>
      <c r="C234" s="1843">
        <v>0.14000000000000001</v>
      </c>
      <c r="D234" s="1843">
        <v>0.14000000000000001</v>
      </c>
      <c r="E234" s="1843">
        <v>0.14399999999999999</v>
      </c>
      <c r="F234" s="1851"/>
    </row>
    <row r="235" spans="1:6" ht="15" thickBot="1">
      <c r="A235" s="1838" t="s">
        <v>1413</v>
      </c>
      <c r="B235" s="1842" t="s">
        <v>2162</v>
      </c>
      <c r="C235" s="1843">
        <v>0.14099999999999999</v>
      </c>
      <c r="D235" s="1843">
        <v>0.14199999999999999</v>
      </c>
      <c r="E235" s="1843">
        <v>0.14499999999999999</v>
      </c>
      <c r="F235" s="1844">
        <v>0.15</v>
      </c>
    </row>
    <row r="236" spans="1:6" ht="15" thickBot="1">
      <c r="A236" s="1838" t="s">
        <v>1413</v>
      </c>
      <c r="B236" s="1842" t="s">
        <v>1345</v>
      </c>
      <c r="C236" s="1852"/>
      <c r="D236" s="1852"/>
      <c r="E236" s="1852"/>
      <c r="F236" s="1844">
        <v>0.14299999999999999</v>
      </c>
    </row>
    <row r="237" spans="1:6" ht="24.6" thickBot="1">
      <c r="A237" s="1838" t="s">
        <v>1413</v>
      </c>
      <c r="B237" s="1842" t="s">
        <v>2163</v>
      </c>
      <c r="C237" s="1852"/>
      <c r="D237" s="1852"/>
      <c r="E237" s="1852"/>
      <c r="F237" s="1844">
        <v>0.05</v>
      </c>
    </row>
    <row r="238" spans="1:6" ht="24.6" thickBot="1">
      <c r="A238" s="1838" t="s">
        <v>1413</v>
      </c>
      <c r="B238" s="1842" t="s">
        <v>2164</v>
      </c>
      <c r="C238" s="1852"/>
      <c r="D238" s="1852"/>
      <c r="E238" s="1852"/>
      <c r="F238" s="1844">
        <v>0.05</v>
      </c>
    </row>
    <row r="239" spans="1:6" ht="24.6" thickBot="1">
      <c r="A239" s="1838" t="s">
        <v>1413</v>
      </c>
      <c r="B239" s="1842" t="s">
        <v>2165</v>
      </c>
      <c r="C239" s="1852"/>
      <c r="D239" s="1852"/>
      <c r="E239" s="1852"/>
      <c r="F239" s="1844">
        <v>0.05</v>
      </c>
    </row>
    <row r="240" spans="1:6" ht="24.6" thickBot="1">
      <c r="A240" s="1838" t="s">
        <v>1413</v>
      </c>
      <c r="B240" s="1842" t="s">
        <v>2166</v>
      </c>
      <c r="C240" s="1852"/>
      <c r="D240" s="1852"/>
      <c r="E240" s="1852"/>
      <c r="F240" s="1844">
        <v>0.05</v>
      </c>
    </row>
    <row r="241" spans="1:6" ht="24.6" thickBot="1">
      <c r="A241" s="1838" t="s">
        <v>1413</v>
      </c>
      <c r="B241" s="1842" t="s">
        <v>2167</v>
      </c>
      <c r="C241" s="1852"/>
      <c r="D241" s="1852"/>
      <c r="E241" s="1852"/>
      <c r="F241" s="1844">
        <v>0.05</v>
      </c>
    </row>
    <row r="242" spans="1:6" ht="24.6" thickBot="1">
      <c r="A242" s="1838" t="s">
        <v>1413</v>
      </c>
      <c r="B242" s="1842" t="s">
        <v>2168</v>
      </c>
      <c r="C242" s="1852"/>
      <c r="D242" s="1852"/>
      <c r="E242" s="1852"/>
      <c r="F242" s="1844">
        <v>0.05</v>
      </c>
    </row>
    <row r="243" spans="1:6" ht="24.6" thickBot="1">
      <c r="A243" s="1838" t="s">
        <v>1413</v>
      </c>
      <c r="B243" s="1842" t="s">
        <v>2169</v>
      </c>
      <c r="C243" s="1852"/>
      <c r="D243" s="1852"/>
      <c r="E243" s="1852"/>
      <c r="F243" s="1844">
        <v>0.05</v>
      </c>
    </row>
    <row r="244" spans="1:6" ht="24.6" thickBot="1">
      <c r="A244" s="1846" t="s">
        <v>1413</v>
      </c>
      <c r="B244" s="1853" t="s">
        <v>2170</v>
      </c>
      <c r="C244" s="1849"/>
      <c r="D244" s="1849"/>
      <c r="E244" s="1849"/>
      <c r="F244" s="1854">
        <v>0.05</v>
      </c>
    </row>
    <row r="245" spans="1:6" ht="15" thickBot="1">
      <c r="A245" s="1838" t="s">
        <v>1415</v>
      </c>
      <c r="B245" s="1839" t="s">
        <v>2171</v>
      </c>
      <c r="C245" s="1840">
        <v>0.15</v>
      </c>
      <c r="D245" s="1840">
        <v>0.15</v>
      </c>
      <c r="E245" s="1840">
        <v>0.15</v>
      </c>
      <c r="F245" s="1841">
        <v>0.14299999999999999</v>
      </c>
    </row>
    <row r="246" spans="1:6" ht="15" thickBot="1">
      <c r="A246" s="1838" t="s">
        <v>1415</v>
      </c>
      <c r="B246" s="1842" t="s">
        <v>1078</v>
      </c>
      <c r="C246" s="1843">
        <v>0.15</v>
      </c>
      <c r="D246" s="1843">
        <v>0.15</v>
      </c>
      <c r="E246" s="1843">
        <v>0.15</v>
      </c>
      <c r="F246" s="1844">
        <v>0.114</v>
      </c>
    </row>
    <row r="247" spans="1:6" ht="15" thickBot="1">
      <c r="A247" s="1838" t="s">
        <v>1415</v>
      </c>
      <c r="B247" s="1842" t="s">
        <v>2172</v>
      </c>
      <c r="C247" s="1843">
        <v>0.15</v>
      </c>
      <c r="D247" s="1843">
        <v>0.15</v>
      </c>
      <c r="E247" s="1843">
        <v>0.15</v>
      </c>
      <c r="F247" s="1844">
        <v>0.15</v>
      </c>
    </row>
    <row r="248" spans="1:6" ht="15" thickBot="1">
      <c r="A248" s="1838" t="s">
        <v>1415</v>
      </c>
      <c r="B248" s="1842" t="s">
        <v>2173</v>
      </c>
      <c r="C248" s="1843">
        <v>0.15</v>
      </c>
      <c r="D248" s="1843">
        <v>0.15</v>
      </c>
      <c r="E248" s="1843">
        <v>0.15</v>
      </c>
      <c r="F248" s="1844">
        <v>0.14000000000000001</v>
      </c>
    </row>
    <row r="249" spans="1:6" ht="15" thickBot="1">
      <c r="A249" s="1838" t="s">
        <v>1415</v>
      </c>
      <c r="B249" s="1842" t="s">
        <v>2174</v>
      </c>
      <c r="C249" s="1843">
        <v>0.15</v>
      </c>
      <c r="D249" s="1843">
        <v>0.14899999999999999</v>
      </c>
      <c r="E249" s="1843">
        <v>0.15</v>
      </c>
      <c r="F249" s="1844">
        <v>0.1</v>
      </c>
    </row>
    <row r="250" spans="1:6" ht="15" thickBot="1">
      <c r="A250" s="1838" t="s">
        <v>1415</v>
      </c>
      <c r="B250" s="1842" t="s">
        <v>2175</v>
      </c>
      <c r="C250" s="1843">
        <v>0.15</v>
      </c>
      <c r="D250" s="1843">
        <v>0.15</v>
      </c>
      <c r="E250" s="1843">
        <v>0.15</v>
      </c>
      <c r="F250" s="1844">
        <v>0.14399999999999999</v>
      </c>
    </row>
    <row r="251" spans="1:6" ht="15" thickBot="1">
      <c r="A251" s="1838" t="s">
        <v>1415</v>
      </c>
      <c r="B251" s="1842" t="s">
        <v>1141</v>
      </c>
      <c r="C251" s="1843">
        <v>0.15</v>
      </c>
      <c r="D251" s="1843">
        <v>0.15</v>
      </c>
      <c r="E251" s="1843">
        <v>0.15</v>
      </c>
      <c r="F251" s="1844">
        <v>0.14299999999999999</v>
      </c>
    </row>
    <row r="252" spans="1:6" ht="15" thickBot="1">
      <c r="A252" s="1838" t="s">
        <v>1415</v>
      </c>
      <c r="B252" s="1842" t="s">
        <v>1152</v>
      </c>
      <c r="C252" s="1843">
        <v>0.15</v>
      </c>
      <c r="D252" s="1843">
        <v>0.15</v>
      </c>
      <c r="E252" s="1843">
        <v>0.15</v>
      </c>
      <c r="F252" s="1844">
        <v>0.1</v>
      </c>
    </row>
    <row r="253" spans="1:6" ht="15" thickBot="1">
      <c r="A253" s="1838" t="s">
        <v>1415</v>
      </c>
      <c r="B253" s="1842" t="s">
        <v>1164</v>
      </c>
      <c r="C253" s="1843">
        <v>0.15</v>
      </c>
      <c r="D253" s="1843">
        <v>0.15</v>
      </c>
      <c r="E253" s="1843">
        <v>0.15</v>
      </c>
      <c r="F253" s="1844">
        <v>0.1</v>
      </c>
    </row>
    <row r="254" spans="1:6" ht="15" thickBot="1">
      <c r="A254" s="1838" t="s">
        <v>1415</v>
      </c>
      <c r="B254" s="1842" t="s">
        <v>1174</v>
      </c>
      <c r="C254" s="1852"/>
      <c r="D254" s="1852"/>
      <c r="E254" s="1852"/>
      <c r="F254" s="1844">
        <v>0.15</v>
      </c>
    </row>
    <row r="255" spans="1:6" ht="15" thickBot="1">
      <c r="A255" s="1838" t="s">
        <v>1415</v>
      </c>
      <c r="B255" s="1842" t="s">
        <v>1184</v>
      </c>
      <c r="C255" s="1852"/>
      <c r="D255" s="1852"/>
      <c r="E255" s="1852"/>
      <c r="F255" s="1844">
        <v>0.14299999999999999</v>
      </c>
    </row>
    <row r="256" spans="1:6" ht="15" thickBot="1">
      <c r="A256" s="1838" t="s">
        <v>1415</v>
      </c>
      <c r="B256" s="1842" t="s">
        <v>2176</v>
      </c>
      <c r="C256" s="1843">
        <v>0.14599999999999999</v>
      </c>
      <c r="D256" s="1843">
        <v>0.14699999999999999</v>
      </c>
      <c r="E256" s="1843">
        <v>0.15</v>
      </c>
      <c r="F256" s="1844">
        <v>0.13200000000000001</v>
      </c>
    </row>
    <row r="257" spans="1:6" ht="15" thickBot="1">
      <c r="A257" s="1838" t="s">
        <v>1415</v>
      </c>
      <c r="B257" s="1842" t="s">
        <v>1204</v>
      </c>
      <c r="C257" s="1843">
        <v>0.15</v>
      </c>
      <c r="D257" s="1843">
        <v>0.15</v>
      </c>
      <c r="E257" s="1843">
        <v>0.15</v>
      </c>
      <c r="F257" s="1844">
        <v>0.13900000000000001</v>
      </c>
    </row>
    <row r="258" spans="1:6" ht="15" thickBot="1">
      <c r="A258" s="1838" t="s">
        <v>1415</v>
      </c>
      <c r="B258" s="1842" t="s">
        <v>1214</v>
      </c>
      <c r="C258" s="1843">
        <v>0.15</v>
      </c>
      <c r="D258" s="1843">
        <v>0.15</v>
      </c>
      <c r="E258" s="1843">
        <v>0.15</v>
      </c>
      <c r="F258" s="1844">
        <v>0.13</v>
      </c>
    </row>
    <row r="259" spans="1:6" ht="15" thickBot="1">
      <c r="A259" s="1838" t="s">
        <v>1415</v>
      </c>
      <c r="B259" s="1842" t="s">
        <v>2177</v>
      </c>
      <c r="C259" s="1843">
        <v>0.14799999999999999</v>
      </c>
      <c r="D259" s="1843">
        <v>0.14899999999999999</v>
      </c>
      <c r="E259" s="1843">
        <v>0.15</v>
      </c>
      <c r="F259" s="1844">
        <v>0.13700000000000001</v>
      </c>
    </row>
    <row r="260" spans="1:6" ht="15" thickBot="1">
      <c r="A260" s="1838" t="s">
        <v>1415</v>
      </c>
      <c r="B260" s="1842" t="s">
        <v>1234</v>
      </c>
      <c r="C260" s="1843">
        <v>0.15</v>
      </c>
      <c r="D260" s="1843">
        <v>0.15</v>
      </c>
      <c r="E260" s="1843">
        <v>0.15</v>
      </c>
      <c r="F260" s="1844">
        <v>0.14199999999999999</v>
      </c>
    </row>
    <row r="261" spans="1:6" ht="15" thickBot="1">
      <c r="A261" s="1838" t="s">
        <v>1415</v>
      </c>
      <c r="B261" s="1842" t="s">
        <v>1244</v>
      </c>
      <c r="C261" s="1843">
        <v>0.15</v>
      </c>
      <c r="D261" s="1843">
        <v>0.15</v>
      </c>
      <c r="E261" s="1843">
        <v>0.14899999999999999</v>
      </c>
      <c r="F261" s="1844">
        <v>0.14799999999999999</v>
      </c>
    </row>
    <row r="262" spans="1:6" ht="15" thickBot="1">
      <c r="A262" s="1838" t="s">
        <v>1415</v>
      </c>
      <c r="B262" s="1842" t="s">
        <v>1254</v>
      </c>
      <c r="C262" s="1843">
        <v>0.15</v>
      </c>
      <c r="D262" s="1843">
        <v>0.15</v>
      </c>
      <c r="E262" s="1843">
        <v>0.15</v>
      </c>
      <c r="F262" s="1851"/>
    </row>
    <row r="263" spans="1:6" ht="15" thickBot="1">
      <c r="A263" s="1838" t="s">
        <v>1415</v>
      </c>
      <c r="B263" s="1842" t="s">
        <v>2178</v>
      </c>
      <c r="C263" s="1843">
        <v>0.14899999999999999</v>
      </c>
      <c r="D263" s="1843">
        <v>0.14899999999999999</v>
      </c>
      <c r="E263" s="1843">
        <v>0.15</v>
      </c>
      <c r="F263" s="1844">
        <v>0.13</v>
      </c>
    </row>
    <row r="264" spans="1:6" ht="15" thickBot="1">
      <c r="A264" s="1838" t="s">
        <v>1415</v>
      </c>
      <c r="B264" s="1842" t="s">
        <v>1273</v>
      </c>
      <c r="C264" s="1843">
        <v>0.14799999999999999</v>
      </c>
      <c r="D264" s="1843">
        <v>0.14699999999999999</v>
      </c>
      <c r="E264" s="1843">
        <v>0.15</v>
      </c>
      <c r="F264" s="1844">
        <v>7.8E-2</v>
      </c>
    </row>
    <row r="265" spans="1:6" ht="15" thickBot="1">
      <c r="A265" s="1838" t="s">
        <v>1415</v>
      </c>
      <c r="B265" s="1842" t="s">
        <v>1282</v>
      </c>
      <c r="C265" s="1843">
        <v>0.15</v>
      </c>
      <c r="D265" s="1843">
        <v>0.15</v>
      </c>
      <c r="E265" s="1843">
        <v>0.15</v>
      </c>
      <c r="F265" s="1844">
        <v>7.3999999999999996E-2</v>
      </c>
    </row>
    <row r="266" spans="1:6" ht="15" thickBot="1">
      <c r="A266" s="1838" t="s">
        <v>1415</v>
      </c>
      <c r="B266" s="1842" t="s">
        <v>1290</v>
      </c>
      <c r="C266" s="1843">
        <v>0.14699999999999999</v>
      </c>
      <c r="D266" s="1843">
        <v>0.14699999999999999</v>
      </c>
      <c r="E266" s="1843">
        <v>0.15</v>
      </c>
      <c r="F266" s="1844">
        <v>0.14299999999999999</v>
      </c>
    </row>
    <row r="267" spans="1:6" ht="15" thickBot="1">
      <c r="A267" s="1838" t="s">
        <v>1415</v>
      </c>
      <c r="B267" s="1842" t="s">
        <v>1297</v>
      </c>
      <c r="C267" s="1843">
        <v>0.14199999999999999</v>
      </c>
      <c r="D267" s="1843">
        <v>0.14299999999999999</v>
      </c>
      <c r="E267" s="1843">
        <v>0.15</v>
      </c>
      <c r="F267" s="1851"/>
    </row>
    <row r="268" spans="1:6" ht="15" thickBot="1">
      <c r="A268" s="1838" t="s">
        <v>1415</v>
      </c>
      <c r="B268" s="1842" t="s">
        <v>2179</v>
      </c>
      <c r="C268" s="1843">
        <v>0.15</v>
      </c>
      <c r="D268" s="1843">
        <v>0.15</v>
      </c>
      <c r="E268" s="1843">
        <v>0.15</v>
      </c>
      <c r="F268" s="1844">
        <v>0.13</v>
      </c>
    </row>
    <row r="269" spans="1:6" ht="15" thickBot="1">
      <c r="A269" s="1838" t="s">
        <v>1415</v>
      </c>
      <c r="B269" s="1842" t="s">
        <v>1311</v>
      </c>
      <c r="C269" s="1843">
        <v>0.15</v>
      </c>
      <c r="D269" s="1843">
        <v>0.15</v>
      </c>
      <c r="E269" s="1843">
        <v>0.15</v>
      </c>
      <c r="F269" s="1844">
        <v>0.14299999999999999</v>
      </c>
    </row>
    <row r="270" spans="1:6" ht="15" thickBot="1">
      <c r="A270" s="1838" t="s">
        <v>1415</v>
      </c>
      <c r="B270" s="1842" t="s">
        <v>1318</v>
      </c>
      <c r="C270" s="1843">
        <v>0.14499999999999999</v>
      </c>
      <c r="D270" s="1843">
        <v>0.14499999999999999</v>
      </c>
      <c r="E270" s="1843">
        <v>0.15</v>
      </c>
      <c r="F270" s="1844">
        <v>0.14699999999999999</v>
      </c>
    </row>
    <row r="271" spans="1:6" ht="15" thickBot="1">
      <c r="A271" s="1838" t="s">
        <v>1415</v>
      </c>
      <c r="B271" s="1842" t="s">
        <v>1325</v>
      </c>
      <c r="C271" s="1843">
        <v>0.15</v>
      </c>
      <c r="D271" s="1843">
        <v>0.15</v>
      </c>
      <c r="E271" s="1843">
        <v>0.15</v>
      </c>
      <c r="F271" s="1844">
        <v>0.13800000000000001</v>
      </c>
    </row>
    <row r="272" spans="1:6" ht="15" thickBot="1">
      <c r="A272" s="1838" t="s">
        <v>1415</v>
      </c>
      <c r="B272" s="1842" t="s">
        <v>1332</v>
      </c>
      <c r="C272" s="1852"/>
      <c r="D272" s="1852"/>
      <c r="E272" s="1852"/>
      <c r="F272" s="1844">
        <v>0.14000000000000001</v>
      </c>
    </row>
    <row r="273" spans="1:6" ht="15" thickBot="1">
      <c r="A273" s="1838" t="s">
        <v>1415</v>
      </c>
      <c r="B273" s="1842" t="s">
        <v>2180</v>
      </c>
      <c r="C273" s="1843">
        <v>0.14199999999999999</v>
      </c>
      <c r="D273" s="1843">
        <v>0.14299999999999999</v>
      </c>
      <c r="E273" s="1843">
        <v>0.15</v>
      </c>
      <c r="F273" s="1844">
        <v>0.1</v>
      </c>
    </row>
    <row r="274" spans="1:6" ht="15" thickBot="1">
      <c r="A274" s="1838" t="s">
        <v>1415</v>
      </c>
      <c r="B274" s="1842" t="s">
        <v>2181</v>
      </c>
      <c r="C274" s="1843">
        <v>0.14799999999999999</v>
      </c>
      <c r="D274" s="1843">
        <v>0.14799999999999999</v>
      </c>
      <c r="E274" s="1843">
        <v>0.15</v>
      </c>
      <c r="F274" s="1844">
        <v>6.7000000000000004E-2</v>
      </c>
    </row>
    <row r="275" spans="1:6" ht="15" thickBot="1">
      <c r="A275" s="1838" t="s">
        <v>1415</v>
      </c>
      <c r="B275" s="1842" t="s">
        <v>2182</v>
      </c>
      <c r="C275" s="1843">
        <v>0.15</v>
      </c>
      <c r="D275" s="1843">
        <v>0.15</v>
      </c>
      <c r="E275" s="1843">
        <v>0.15</v>
      </c>
      <c r="F275" s="1844">
        <v>0.15</v>
      </c>
    </row>
    <row r="276" spans="1:6" ht="15" thickBot="1">
      <c r="A276" s="1838" t="s">
        <v>1415</v>
      </c>
      <c r="B276" s="1842" t="s">
        <v>2183</v>
      </c>
      <c r="C276" s="1843">
        <v>0.14499999999999999</v>
      </c>
      <c r="D276" s="1843">
        <v>0.14299999999999999</v>
      </c>
      <c r="E276" s="1843">
        <v>0.15</v>
      </c>
      <c r="F276" s="1844">
        <v>5.8999999999999997E-2</v>
      </c>
    </row>
    <row r="277" spans="1:6" ht="15" thickBot="1">
      <c r="A277" s="1838" t="s">
        <v>1415</v>
      </c>
      <c r="B277" s="1842" t="s">
        <v>2184</v>
      </c>
      <c r="C277" s="1843">
        <v>0.15</v>
      </c>
      <c r="D277" s="1843">
        <v>0.15</v>
      </c>
      <c r="E277" s="1843">
        <v>0.15</v>
      </c>
      <c r="F277" s="1844">
        <v>0.121</v>
      </c>
    </row>
    <row r="278" spans="1:6" ht="15" thickBot="1">
      <c r="A278" s="1838" t="s">
        <v>1415</v>
      </c>
      <c r="B278" s="1842" t="s">
        <v>2185</v>
      </c>
      <c r="C278" s="1843">
        <v>0.15</v>
      </c>
      <c r="D278" s="1843">
        <v>0.15</v>
      </c>
      <c r="E278" s="1843">
        <v>0.15</v>
      </c>
      <c r="F278" s="1844">
        <v>0.13800000000000001</v>
      </c>
    </row>
    <row r="279" spans="1:6" ht="24.6" thickBot="1">
      <c r="A279" s="1838" t="s">
        <v>1415</v>
      </c>
      <c r="B279" s="1842" t="s">
        <v>2186</v>
      </c>
      <c r="C279" s="1852"/>
      <c r="D279" s="1852"/>
      <c r="E279" s="1852"/>
      <c r="F279" s="1844">
        <v>0.05</v>
      </c>
    </row>
    <row r="280" spans="1:6" ht="24.6" thickBot="1">
      <c r="A280" s="1838" t="s">
        <v>1415</v>
      </c>
      <c r="B280" s="1842" t="s">
        <v>2187</v>
      </c>
      <c r="C280" s="1852"/>
      <c r="D280" s="1852"/>
      <c r="E280" s="1852"/>
      <c r="F280" s="1844">
        <v>0.05</v>
      </c>
    </row>
    <row r="281" spans="1:6" ht="24.6" thickBot="1">
      <c r="A281" s="1838" t="s">
        <v>1415</v>
      </c>
      <c r="B281" s="1842" t="s">
        <v>2188</v>
      </c>
      <c r="C281" s="1852"/>
      <c r="D281" s="1852"/>
      <c r="E281" s="1852"/>
      <c r="F281" s="1844">
        <v>0.05</v>
      </c>
    </row>
    <row r="282" spans="1:6" ht="24.6" thickBot="1">
      <c r="A282" s="1838" t="s">
        <v>1415</v>
      </c>
      <c r="B282" s="1842" t="s">
        <v>2189</v>
      </c>
      <c r="C282" s="1852"/>
      <c r="D282" s="1852"/>
      <c r="E282" s="1852"/>
      <c r="F282" s="1844">
        <v>0.05</v>
      </c>
    </row>
    <row r="283" spans="1:6" ht="24.6" thickBot="1">
      <c r="A283" s="1838" t="s">
        <v>1415</v>
      </c>
      <c r="B283" s="1842" t="s">
        <v>2190</v>
      </c>
      <c r="C283" s="1852"/>
      <c r="D283" s="1852"/>
      <c r="E283" s="1852"/>
      <c r="F283" s="1844">
        <v>0.05</v>
      </c>
    </row>
    <row r="284" spans="1:6" ht="24.6" thickBot="1">
      <c r="A284" s="1838" t="s">
        <v>1415</v>
      </c>
      <c r="B284" s="1842" t="s">
        <v>2191</v>
      </c>
      <c r="C284" s="1852"/>
      <c r="D284" s="1852"/>
      <c r="E284" s="1852"/>
      <c r="F284" s="1844">
        <v>0.05</v>
      </c>
    </row>
    <row r="285" spans="1:6" ht="24.6" thickBot="1">
      <c r="A285" s="1838" t="s">
        <v>1415</v>
      </c>
      <c r="B285" s="1842" t="s">
        <v>2192</v>
      </c>
      <c r="C285" s="1852"/>
      <c r="D285" s="1852"/>
      <c r="E285" s="1852"/>
      <c r="F285" s="1844">
        <v>0.05</v>
      </c>
    </row>
    <row r="286" spans="1:6" ht="24.6" thickBot="1">
      <c r="A286" s="1838" t="s">
        <v>1415</v>
      </c>
      <c r="B286" s="1842" t="s">
        <v>2193</v>
      </c>
      <c r="C286" s="1852"/>
      <c r="D286" s="1852"/>
      <c r="E286" s="1852"/>
      <c r="F286" s="1844">
        <v>0.05</v>
      </c>
    </row>
    <row r="287" spans="1:6" ht="24.6" thickBot="1">
      <c r="A287" s="1838" t="s">
        <v>1415</v>
      </c>
      <c r="B287" s="1842" t="s">
        <v>2194</v>
      </c>
      <c r="C287" s="1852"/>
      <c r="D287" s="1852"/>
      <c r="E287" s="1852"/>
      <c r="F287" s="1844">
        <v>0.05</v>
      </c>
    </row>
    <row r="288" spans="1:6" ht="24.6" thickBot="1">
      <c r="A288" s="1838" t="s">
        <v>1415</v>
      </c>
      <c r="B288" s="1842" t="s">
        <v>2195</v>
      </c>
      <c r="C288" s="1852"/>
      <c r="D288" s="1852"/>
      <c r="E288" s="1852"/>
      <c r="F288" s="1844">
        <v>0.05</v>
      </c>
    </row>
    <row r="289" spans="1:6" ht="24.6" thickBot="1">
      <c r="A289" s="1846" t="s">
        <v>1415</v>
      </c>
      <c r="B289" s="1853" t="s">
        <v>2196</v>
      </c>
      <c r="C289" s="1849"/>
      <c r="D289" s="1849"/>
      <c r="E289" s="1849"/>
      <c r="F289" s="1854">
        <v>0.05</v>
      </c>
    </row>
    <row r="290" spans="1:6" ht="15" thickBot="1">
      <c r="A290" s="1838" t="s">
        <v>1419</v>
      </c>
      <c r="B290" s="1839" t="s">
        <v>2197</v>
      </c>
      <c r="C290" s="1840">
        <v>0.15</v>
      </c>
      <c r="D290" s="1840">
        <v>0.15</v>
      </c>
      <c r="E290" s="1840">
        <v>0.15</v>
      </c>
      <c r="F290" s="1862"/>
    </row>
    <row r="291" spans="1:6" ht="15" thickBot="1">
      <c r="A291" s="1838" t="s">
        <v>1419</v>
      </c>
      <c r="B291" s="1842" t="s">
        <v>1079</v>
      </c>
      <c r="C291" s="1843">
        <v>0.15</v>
      </c>
      <c r="D291" s="1843">
        <v>0.15</v>
      </c>
      <c r="E291" s="1843">
        <v>0.15</v>
      </c>
      <c r="F291" s="1851"/>
    </row>
    <row r="292" spans="1:6" ht="15" thickBot="1">
      <c r="A292" s="1838" t="s">
        <v>1419</v>
      </c>
      <c r="B292" s="1842" t="s">
        <v>2198</v>
      </c>
      <c r="C292" s="1843">
        <v>0.15</v>
      </c>
      <c r="D292" s="1843">
        <v>0.15</v>
      </c>
      <c r="E292" s="1843">
        <v>0.15</v>
      </c>
      <c r="F292" s="1844">
        <v>0.14699999999999999</v>
      </c>
    </row>
    <row r="293" spans="1:6" ht="15" thickBot="1">
      <c r="A293" s="1838" t="s">
        <v>1419</v>
      </c>
      <c r="B293" s="1842" t="s">
        <v>2199</v>
      </c>
      <c r="C293" s="1852"/>
      <c r="D293" s="1852"/>
      <c r="E293" s="1852"/>
      <c r="F293" s="1844">
        <v>0.1</v>
      </c>
    </row>
    <row r="294" spans="1:6" ht="15" thickBot="1">
      <c r="A294" s="1838" t="s">
        <v>1419</v>
      </c>
      <c r="B294" s="1842" t="s">
        <v>2200</v>
      </c>
      <c r="C294" s="1843">
        <v>0.15</v>
      </c>
      <c r="D294" s="1843">
        <v>0.15</v>
      </c>
      <c r="E294" s="1843">
        <v>0.15</v>
      </c>
      <c r="F294" s="1844">
        <v>0.15</v>
      </c>
    </row>
    <row r="295" spans="1:6" ht="15" thickBot="1">
      <c r="A295" s="1838" t="s">
        <v>1419</v>
      </c>
      <c r="B295" s="1842" t="s">
        <v>1120</v>
      </c>
      <c r="C295" s="1843">
        <v>0.15</v>
      </c>
      <c r="D295" s="1843">
        <v>0.15</v>
      </c>
      <c r="E295" s="1843">
        <v>0.15</v>
      </c>
      <c r="F295" s="1844">
        <v>0.15</v>
      </c>
    </row>
    <row r="296" spans="1:6" ht="15" thickBot="1">
      <c r="A296" s="1838" t="s">
        <v>1419</v>
      </c>
      <c r="B296" s="1842" t="s">
        <v>2201</v>
      </c>
      <c r="C296" s="1843">
        <v>0.15</v>
      </c>
      <c r="D296" s="1843">
        <v>0.15</v>
      </c>
      <c r="E296" s="1843">
        <v>0.15</v>
      </c>
      <c r="F296" s="1844">
        <v>0.15</v>
      </c>
    </row>
    <row r="297" spans="1:6" ht="15" thickBot="1">
      <c r="A297" s="1838" t="s">
        <v>1419</v>
      </c>
      <c r="B297" s="1842" t="s">
        <v>2202</v>
      </c>
      <c r="C297" s="1843">
        <v>0.14799999999999999</v>
      </c>
      <c r="D297" s="1843">
        <v>0.14899999999999999</v>
      </c>
      <c r="E297" s="1843">
        <v>0.15</v>
      </c>
      <c r="F297" s="1844">
        <v>0.13700000000000001</v>
      </c>
    </row>
    <row r="298" spans="1:6" ht="15" thickBot="1">
      <c r="A298" s="1838" t="s">
        <v>1419</v>
      </c>
      <c r="B298" s="1842" t="s">
        <v>1153</v>
      </c>
      <c r="C298" s="1843">
        <v>0.13400000000000001</v>
      </c>
      <c r="D298" s="1843">
        <v>0.13400000000000001</v>
      </c>
      <c r="E298" s="1843">
        <v>0.14499999999999999</v>
      </c>
      <c r="F298" s="1844">
        <v>0.14799999999999999</v>
      </c>
    </row>
    <row r="299" spans="1:6" ht="15" thickBot="1">
      <c r="A299" s="1838" t="s">
        <v>1419</v>
      </c>
      <c r="B299" s="1842" t="s">
        <v>1165</v>
      </c>
      <c r="C299" s="1843">
        <v>0.15</v>
      </c>
      <c r="D299" s="1843">
        <v>0.15</v>
      </c>
      <c r="E299" s="1843">
        <v>0.15</v>
      </c>
      <c r="F299" s="1851"/>
    </row>
    <row r="300" spans="1:6" ht="15" thickBot="1">
      <c r="A300" s="1838" t="s">
        <v>1419</v>
      </c>
      <c r="B300" s="1842" t="s">
        <v>2203</v>
      </c>
      <c r="C300" s="1843">
        <v>0.15</v>
      </c>
      <c r="D300" s="1843">
        <v>0.15</v>
      </c>
      <c r="E300" s="1843">
        <v>0.15</v>
      </c>
      <c r="F300" s="1844">
        <v>0.15</v>
      </c>
    </row>
    <row r="301" spans="1:6" ht="15" thickBot="1">
      <c r="A301" s="1838" t="s">
        <v>1419</v>
      </c>
      <c r="B301" s="1842" t="s">
        <v>1185</v>
      </c>
      <c r="C301" s="1843">
        <v>0.15</v>
      </c>
      <c r="D301" s="1843">
        <v>0.15</v>
      </c>
      <c r="E301" s="1843">
        <v>0.15</v>
      </c>
      <c r="F301" s="1851"/>
    </row>
    <row r="302" spans="1:6" ht="15" thickBot="1">
      <c r="A302" s="1838" t="s">
        <v>1419</v>
      </c>
      <c r="B302" s="1842" t="s">
        <v>2204</v>
      </c>
      <c r="C302" s="1843">
        <v>0.15</v>
      </c>
      <c r="D302" s="1843">
        <v>0.15</v>
      </c>
      <c r="E302" s="1843">
        <v>0.15</v>
      </c>
      <c r="F302" s="1844">
        <v>0.15</v>
      </c>
    </row>
    <row r="303" spans="1:6" ht="15" thickBot="1">
      <c r="A303" s="1838" t="s">
        <v>1419</v>
      </c>
      <c r="B303" s="1842" t="s">
        <v>1205</v>
      </c>
      <c r="C303" s="1843">
        <v>0.15</v>
      </c>
      <c r="D303" s="1843">
        <v>0.15</v>
      </c>
      <c r="E303" s="1843">
        <v>0.15</v>
      </c>
      <c r="F303" s="1844">
        <v>0.15</v>
      </c>
    </row>
    <row r="304" spans="1:6" ht="15" thickBot="1">
      <c r="A304" s="1838" t="s">
        <v>1419</v>
      </c>
      <c r="B304" s="1842" t="s">
        <v>1215</v>
      </c>
      <c r="C304" s="1843">
        <v>0.15</v>
      </c>
      <c r="D304" s="1843">
        <v>0.15</v>
      </c>
      <c r="E304" s="1843">
        <v>0.15</v>
      </c>
      <c r="F304" s="1851"/>
    </row>
    <row r="305" spans="1:6" ht="15" thickBot="1">
      <c r="A305" s="1838" t="s">
        <v>1419</v>
      </c>
      <c r="B305" s="1842" t="s">
        <v>2205</v>
      </c>
      <c r="C305" s="1843">
        <v>0.15</v>
      </c>
      <c r="D305" s="1843">
        <v>0.15</v>
      </c>
      <c r="E305" s="1843">
        <v>0.15</v>
      </c>
      <c r="F305" s="1844">
        <v>0.14000000000000001</v>
      </c>
    </row>
    <row r="306" spans="1:6" ht="15" thickBot="1">
      <c r="A306" s="1838" t="s">
        <v>1419</v>
      </c>
      <c r="B306" s="1842" t="s">
        <v>1235</v>
      </c>
      <c r="C306" s="1843">
        <v>0.15</v>
      </c>
      <c r="D306" s="1843">
        <v>0.15</v>
      </c>
      <c r="E306" s="1843">
        <v>0.15</v>
      </c>
      <c r="F306" s="1851"/>
    </row>
    <row r="307" spans="1:6" ht="15" thickBot="1">
      <c r="A307" s="1838" t="s">
        <v>1419</v>
      </c>
      <c r="B307" s="1842" t="s">
        <v>2206</v>
      </c>
      <c r="C307" s="1843">
        <v>0.15</v>
      </c>
      <c r="D307" s="1843">
        <v>0.15</v>
      </c>
      <c r="E307" s="1843">
        <v>0.15</v>
      </c>
      <c r="F307" s="1844">
        <v>0.14299999999999999</v>
      </c>
    </row>
    <row r="308" spans="1:6" ht="15" thickBot="1">
      <c r="A308" s="1838" t="s">
        <v>1419</v>
      </c>
      <c r="B308" s="1842" t="s">
        <v>1255</v>
      </c>
      <c r="C308" s="1843">
        <v>0.15</v>
      </c>
      <c r="D308" s="1843">
        <v>0.15</v>
      </c>
      <c r="E308" s="1843">
        <v>0.15</v>
      </c>
      <c r="F308" s="1844">
        <v>0.15</v>
      </c>
    </row>
    <row r="309" spans="1:6" ht="15" thickBot="1">
      <c r="A309" s="1838" t="s">
        <v>1419</v>
      </c>
      <c r="B309" s="1842" t="s">
        <v>1265</v>
      </c>
      <c r="C309" s="1843">
        <v>0.15</v>
      </c>
      <c r="D309" s="1843">
        <v>0.15</v>
      </c>
      <c r="E309" s="1843">
        <v>0.15</v>
      </c>
      <c r="F309" s="1851"/>
    </row>
    <row r="310" spans="1:6" ht="15" thickBot="1">
      <c r="A310" s="1838" t="s">
        <v>1419</v>
      </c>
      <c r="B310" s="1842" t="s">
        <v>2207</v>
      </c>
      <c r="C310" s="1843">
        <v>0.15</v>
      </c>
      <c r="D310" s="1843">
        <v>0.15</v>
      </c>
      <c r="E310" s="1843">
        <v>0.15</v>
      </c>
      <c r="F310" s="1844">
        <v>0.13700000000000001</v>
      </c>
    </row>
    <row r="311" spans="1:6" ht="15" thickBot="1">
      <c r="A311" s="1838" t="s">
        <v>1419</v>
      </c>
      <c r="B311" s="1842" t="s">
        <v>2208</v>
      </c>
      <c r="C311" s="1843">
        <v>0.15</v>
      </c>
      <c r="D311" s="1843">
        <v>0.15</v>
      </c>
      <c r="E311" s="1843">
        <v>0.15</v>
      </c>
      <c r="F311" s="1844">
        <v>0.15</v>
      </c>
    </row>
    <row r="312" spans="1:6" ht="15" thickBot="1">
      <c r="A312" s="1838" t="s">
        <v>1419</v>
      </c>
      <c r="B312" s="1842" t="s">
        <v>1291</v>
      </c>
      <c r="C312" s="1843">
        <v>0.15</v>
      </c>
      <c r="D312" s="1843">
        <v>0.15</v>
      </c>
      <c r="E312" s="1843">
        <v>0.15</v>
      </c>
      <c r="F312" s="1844">
        <v>0.1</v>
      </c>
    </row>
    <row r="313" spans="1:6" ht="15" thickBot="1">
      <c r="A313" s="1838" t="s">
        <v>1419</v>
      </c>
      <c r="B313" s="1842" t="s">
        <v>2209</v>
      </c>
      <c r="C313" s="1843">
        <v>0.15</v>
      </c>
      <c r="D313" s="1843">
        <v>0.15</v>
      </c>
      <c r="E313" s="1843">
        <v>0.15</v>
      </c>
      <c r="F313" s="1844">
        <v>0.15</v>
      </c>
    </row>
    <row r="314" spans="1:6" ht="24.6" thickBot="1">
      <c r="A314" s="1838" t="s">
        <v>1419</v>
      </c>
      <c r="B314" s="1842" t="s">
        <v>2210</v>
      </c>
      <c r="C314" s="1852"/>
      <c r="D314" s="1852"/>
      <c r="E314" s="1852"/>
      <c r="F314" s="1844">
        <v>0.05</v>
      </c>
    </row>
    <row r="315" spans="1:6" ht="24.6" thickBot="1">
      <c r="A315" s="1838" t="s">
        <v>1419</v>
      </c>
      <c r="B315" s="1842" t="s">
        <v>2211</v>
      </c>
      <c r="C315" s="1852"/>
      <c r="D315" s="1852"/>
      <c r="E315" s="1852"/>
      <c r="F315" s="1844">
        <v>0.05</v>
      </c>
    </row>
    <row r="316" spans="1:6" ht="24.6" thickBot="1">
      <c r="A316" s="1846" t="s">
        <v>1419</v>
      </c>
      <c r="B316" s="1853" t="s">
        <v>2212</v>
      </c>
      <c r="C316" s="1849"/>
      <c r="D316" s="1849"/>
      <c r="E316" s="1849"/>
      <c r="F316" s="1854">
        <v>0.05</v>
      </c>
    </row>
    <row r="317" spans="1:6" ht="15" thickBot="1">
      <c r="A317" s="1838" t="s">
        <v>2213</v>
      </c>
      <c r="B317" s="1839" t="s">
        <v>2214</v>
      </c>
      <c r="C317" s="1840">
        <v>0.15</v>
      </c>
      <c r="D317" s="1840">
        <v>0.15</v>
      </c>
      <c r="E317" s="1840">
        <v>0.15</v>
      </c>
      <c r="F317" s="1841">
        <v>0.15</v>
      </c>
    </row>
    <row r="318" spans="1:6" ht="15" thickBot="1">
      <c r="A318" s="1838" t="s">
        <v>2213</v>
      </c>
      <c r="B318" s="1842" t="s">
        <v>2215</v>
      </c>
      <c r="C318" s="1843">
        <v>0.107</v>
      </c>
      <c r="D318" s="1843">
        <v>0.11</v>
      </c>
      <c r="E318" s="1843">
        <v>0.112</v>
      </c>
      <c r="F318" s="1851"/>
    </row>
    <row r="319" spans="1:6" ht="15" thickBot="1">
      <c r="A319" s="1838" t="s">
        <v>2213</v>
      </c>
      <c r="B319" s="1842" t="s">
        <v>2216</v>
      </c>
      <c r="C319" s="1843">
        <v>0.15</v>
      </c>
      <c r="D319" s="1843">
        <v>0.15</v>
      </c>
      <c r="E319" s="1843">
        <v>0.15</v>
      </c>
      <c r="F319" s="1844">
        <v>0.15</v>
      </c>
    </row>
    <row r="320" spans="1:6" ht="15" thickBot="1">
      <c r="A320" s="1838" t="s">
        <v>2213</v>
      </c>
      <c r="B320" s="1842" t="s">
        <v>1107</v>
      </c>
      <c r="C320" s="1843">
        <v>0.15</v>
      </c>
      <c r="D320" s="1843">
        <v>0.15</v>
      </c>
      <c r="E320" s="1843">
        <v>0.15</v>
      </c>
      <c r="F320" s="1851"/>
    </row>
    <row r="321" spans="1:6" ht="15" thickBot="1">
      <c r="A321" s="1838" t="s">
        <v>2213</v>
      </c>
      <c r="B321" s="1842" t="s">
        <v>2217</v>
      </c>
      <c r="C321" s="1843">
        <v>0.15</v>
      </c>
      <c r="D321" s="1843">
        <v>0.15</v>
      </c>
      <c r="E321" s="1843">
        <v>0.15</v>
      </c>
      <c r="F321" s="1851"/>
    </row>
    <row r="322" spans="1:6" ht="15" thickBot="1">
      <c r="A322" s="1838" t="s">
        <v>2213</v>
      </c>
      <c r="B322" s="1842" t="s">
        <v>2218</v>
      </c>
      <c r="C322" s="1843">
        <v>0.15</v>
      </c>
      <c r="D322" s="1843">
        <v>0.15</v>
      </c>
      <c r="E322" s="1843">
        <v>0.15</v>
      </c>
      <c r="F322" s="1844">
        <v>0.15</v>
      </c>
    </row>
    <row r="323" spans="1:6" ht="15" thickBot="1">
      <c r="A323" s="1838" t="s">
        <v>2213</v>
      </c>
      <c r="B323" s="1842" t="s">
        <v>2219</v>
      </c>
      <c r="C323" s="1843">
        <v>0.15</v>
      </c>
      <c r="D323" s="1843">
        <v>0.15</v>
      </c>
      <c r="E323" s="1843">
        <v>0.15</v>
      </c>
      <c r="F323" s="1851"/>
    </row>
    <row r="324" spans="1:6" ht="15" thickBot="1">
      <c r="A324" s="1838" t="s">
        <v>2213</v>
      </c>
      <c r="B324" s="1842" t="s">
        <v>2220</v>
      </c>
      <c r="C324" s="1843">
        <v>0.15</v>
      </c>
      <c r="D324" s="1843">
        <v>0.15</v>
      </c>
      <c r="E324" s="1843">
        <v>0.15</v>
      </c>
      <c r="F324" s="1851"/>
    </row>
    <row r="325" spans="1:6" ht="15" thickBot="1">
      <c r="A325" s="1838" t="s">
        <v>2213</v>
      </c>
      <c r="B325" s="1842" t="s">
        <v>2221</v>
      </c>
      <c r="C325" s="1843">
        <v>0.15</v>
      </c>
      <c r="D325" s="1843">
        <v>0.15</v>
      </c>
      <c r="E325" s="1843">
        <v>0.15</v>
      </c>
      <c r="F325" s="1844">
        <v>0.14699999999999999</v>
      </c>
    </row>
    <row r="326" spans="1:6" ht="15" thickBot="1">
      <c r="A326" s="1838" t="s">
        <v>2213</v>
      </c>
      <c r="B326" s="1842" t="s">
        <v>1176</v>
      </c>
      <c r="C326" s="1843">
        <v>0.15</v>
      </c>
      <c r="D326" s="1843">
        <v>0.15</v>
      </c>
      <c r="E326" s="1843">
        <v>0.15</v>
      </c>
      <c r="F326" s="1851"/>
    </row>
    <row r="327" spans="1:6" ht="15" thickBot="1">
      <c r="A327" s="1838" t="s">
        <v>2213</v>
      </c>
      <c r="B327" s="1842" t="s">
        <v>2222</v>
      </c>
      <c r="C327" s="1843">
        <v>0.15</v>
      </c>
      <c r="D327" s="1843">
        <v>0.15</v>
      </c>
      <c r="E327" s="1843">
        <v>0.15</v>
      </c>
      <c r="F327" s="1844">
        <v>0.15</v>
      </c>
    </row>
    <row r="328" spans="1:6" ht="15" thickBot="1">
      <c r="A328" s="1838" t="s">
        <v>2213</v>
      </c>
      <c r="B328" s="1842" t="s">
        <v>1196</v>
      </c>
      <c r="C328" s="1843">
        <v>0.15</v>
      </c>
      <c r="D328" s="1843">
        <v>0.15</v>
      </c>
      <c r="E328" s="1843">
        <v>0.15</v>
      </c>
      <c r="F328" s="1844">
        <v>0.14099999999999999</v>
      </c>
    </row>
    <row r="329" spans="1:6" ht="15" thickBot="1">
      <c r="A329" s="1838" t="s">
        <v>2213</v>
      </c>
      <c r="B329" s="1842" t="s">
        <v>1206</v>
      </c>
      <c r="C329" s="1843">
        <v>0.15</v>
      </c>
      <c r="D329" s="1843">
        <v>0.15</v>
      </c>
      <c r="E329" s="1843">
        <v>0.15</v>
      </c>
      <c r="F329" s="1844">
        <v>0.15</v>
      </c>
    </row>
    <row r="330" spans="1:6" ht="15" thickBot="1">
      <c r="A330" s="1838" t="s">
        <v>2213</v>
      </c>
      <c r="B330" s="1842" t="s">
        <v>1216</v>
      </c>
      <c r="C330" s="1843">
        <v>0.15</v>
      </c>
      <c r="D330" s="1843">
        <v>0.15</v>
      </c>
      <c r="E330" s="1843">
        <v>0.15</v>
      </c>
      <c r="F330" s="1851"/>
    </row>
    <row r="331" spans="1:6" ht="15" thickBot="1">
      <c r="A331" s="1838" t="s">
        <v>2213</v>
      </c>
      <c r="B331" s="1842" t="s">
        <v>2223</v>
      </c>
      <c r="C331" s="1843">
        <v>0.15</v>
      </c>
      <c r="D331" s="1843">
        <v>0.15</v>
      </c>
      <c r="E331" s="1843">
        <v>0.15</v>
      </c>
      <c r="F331" s="1844">
        <v>0.15</v>
      </c>
    </row>
    <row r="332" spans="1:6" ht="15" thickBot="1">
      <c r="A332" s="1838" t="s">
        <v>2213</v>
      </c>
      <c r="B332" s="1842" t="s">
        <v>1236</v>
      </c>
      <c r="C332" s="1843">
        <v>0.15</v>
      </c>
      <c r="D332" s="1843">
        <v>0.15</v>
      </c>
      <c r="E332" s="1843">
        <v>0.15</v>
      </c>
      <c r="F332" s="1844">
        <v>0.15</v>
      </c>
    </row>
    <row r="333" spans="1:6" ht="15" thickBot="1">
      <c r="A333" s="1838" t="s">
        <v>2213</v>
      </c>
      <c r="B333" s="1842" t="s">
        <v>2224</v>
      </c>
      <c r="C333" s="1843">
        <v>0.15</v>
      </c>
      <c r="D333" s="1843">
        <v>0.15</v>
      </c>
      <c r="E333" s="1843">
        <v>0.15</v>
      </c>
      <c r="F333" s="1844">
        <v>0.14099999999999999</v>
      </c>
    </row>
    <row r="334" spans="1:6" ht="15" thickBot="1">
      <c r="A334" s="1838" t="s">
        <v>2213</v>
      </c>
      <c r="B334" s="1842" t="s">
        <v>1256</v>
      </c>
      <c r="C334" s="1843">
        <v>0.15</v>
      </c>
      <c r="D334" s="1843">
        <v>0.15</v>
      </c>
      <c r="E334" s="1843">
        <v>0.15</v>
      </c>
      <c r="F334" s="1844">
        <v>0.15</v>
      </c>
    </row>
    <row r="335" spans="1:6" ht="15" thickBot="1">
      <c r="A335" s="1838" t="s">
        <v>2213</v>
      </c>
      <c r="B335" s="1842" t="s">
        <v>1266</v>
      </c>
      <c r="C335" s="1843">
        <v>0.15</v>
      </c>
      <c r="D335" s="1843">
        <v>0.15</v>
      </c>
      <c r="E335" s="1843">
        <v>0.15</v>
      </c>
      <c r="F335" s="1851"/>
    </row>
    <row r="336" spans="1:6" ht="15" thickBot="1">
      <c r="A336" s="1838" t="s">
        <v>2213</v>
      </c>
      <c r="B336" s="1842" t="s">
        <v>2225</v>
      </c>
      <c r="C336" s="1843">
        <v>0.15</v>
      </c>
      <c r="D336" s="1843">
        <v>0.15</v>
      </c>
      <c r="E336" s="1843">
        <v>0.15</v>
      </c>
      <c r="F336" s="1844">
        <v>0.11799999999999999</v>
      </c>
    </row>
    <row r="337" spans="1:6" ht="15" thickBot="1">
      <c r="A337" s="1846" t="s">
        <v>2213</v>
      </c>
      <c r="B337" s="1853" t="s">
        <v>1284</v>
      </c>
      <c r="C337" s="1849"/>
      <c r="D337" s="1849"/>
      <c r="E337" s="1849"/>
      <c r="F337" s="1854">
        <v>0.14299999999999999</v>
      </c>
    </row>
    <row r="338" spans="1:6" ht="15" thickBot="1">
      <c r="A338" s="1838" t="s">
        <v>2226</v>
      </c>
      <c r="B338" s="1839" t="s">
        <v>2227</v>
      </c>
      <c r="C338" s="1840">
        <v>0.15</v>
      </c>
      <c r="D338" s="1840">
        <v>0.15</v>
      </c>
      <c r="E338" s="1840">
        <v>0.15</v>
      </c>
      <c r="F338" s="1862"/>
    </row>
    <row r="339" spans="1:6" ht="15" thickBot="1">
      <c r="A339" s="1838" t="s">
        <v>2226</v>
      </c>
      <c r="B339" s="1842" t="s">
        <v>2228</v>
      </c>
      <c r="C339" s="1843">
        <v>0.15</v>
      </c>
      <c r="D339" s="1843">
        <v>0.15</v>
      </c>
      <c r="E339" s="1843">
        <v>0.15</v>
      </c>
      <c r="F339" s="1851"/>
    </row>
    <row r="340" spans="1:6" ht="15" thickBot="1">
      <c r="A340" s="1838" t="s">
        <v>2226</v>
      </c>
      <c r="B340" s="1842" t="s">
        <v>2229</v>
      </c>
      <c r="C340" s="1843">
        <v>0.15</v>
      </c>
      <c r="D340" s="1843">
        <v>0.15</v>
      </c>
      <c r="E340" s="1843">
        <v>0.15</v>
      </c>
      <c r="F340" s="1851"/>
    </row>
    <row r="341" spans="1:6" ht="15" thickBot="1">
      <c r="A341" s="1838" t="s">
        <v>2230</v>
      </c>
      <c r="B341" s="1842" t="s">
        <v>2231</v>
      </c>
      <c r="C341" s="1843">
        <v>0.15</v>
      </c>
      <c r="D341" s="1843">
        <v>0.15</v>
      </c>
      <c r="E341" s="1843">
        <v>0.15</v>
      </c>
      <c r="F341" s="1844">
        <v>0.15</v>
      </c>
    </row>
    <row r="342" spans="1:6" ht="15" thickBot="1">
      <c r="A342" s="1838" t="s">
        <v>2226</v>
      </c>
      <c r="B342" s="1842" t="s">
        <v>2232</v>
      </c>
      <c r="C342" s="1843">
        <v>0.15</v>
      </c>
      <c r="D342" s="1843">
        <v>0.15</v>
      </c>
      <c r="E342" s="1843">
        <v>0.15</v>
      </c>
      <c r="F342" s="1844">
        <v>0.15</v>
      </c>
    </row>
    <row r="343" spans="1:6" ht="15" thickBot="1">
      <c r="A343" s="1838" t="s">
        <v>2226</v>
      </c>
      <c r="B343" s="1842" t="s">
        <v>2233</v>
      </c>
      <c r="C343" s="1843">
        <v>0.15</v>
      </c>
      <c r="D343" s="1843">
        <v>0.15</v>
      </c>
      <c r="E343" s="1843">
        <v>0.15</v>
      </c>
      <c r="F343" s="1844">
        <v>0.15</v>
      </c>
    </row>
    <row r="344" spans="1:6" ht="15" thickBot="1">
      <c r="A344" s="1846" t="s">
        <v>2226</v>
      </c>
      <c r="B344" s="1853" t="s">
        <v>2234</v>
      </c>
      <c r="C344" s="1848">
        <v>0.15</v>
      </c>
      <c r="D344" s="1848">
        <v>0.15</v>
      </c>
      <c r="E344" s="1848">
        <v>0.15</v>
      </c>
      <c r="F344" s="1854">
        <v>0.15</v>
      </c>
    </row>
  </sheetData>
  <sheetProtection password="C66D" sheet="1" objects="1" scenarios="1"/>
  <mergeCells count="1">
    <mergeCell ref="A1:B1"/>
  </mergeCells>
  <phoneticPr fontId="14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12"/>
  <sheetViews>
    <sheetView zoomScale="80" zoomScaleNormal="80" workbookViewId="0">
      <selection activeCell="H19" sqref="H19"/>
    </sheetView>
  </sheetViews>
  <sheetFormatPr defaultColWidth="9" defaultRowHeight="13.2"/>
  <cols>
    <col min="1" max="1" width="9" style="2624"/>
    <col min="2" max="6" width="9" style="2624" customWidth="1"/>
    <col min="7" max="7" width="9" style="2640" customWidth="1"/>
    <col min="8" max="12" width="9" style="2624" customWidth="1"/>
    <col min="13" max="13" width="2.21875" style="2624" customWidth="1"/>
    <col min="14" max="14" width="9" style="2640" customWidth="1"/>
    <col min="15" max="17" width="9" style="2624" customWidth="1"/>
    <col min="18" max="18" width="2.33203125" style="2624" customWidth="1"/>
    <col min="19" max="19" width="7.109375" style="2640" customWidth="1"/>
    <col min="20" max="22" width="7.109375" style="2624" customWidth="1"/>
    <col min="23" max="23" width="24" style="2624" customWidth="1"/>
    <col min="24" max="25" width="9" style="2624"/>
    <col min="26" max="27" width="11.6640625" style="2624" customWidth="1"/>
    <col min="28" max="28" width="9" style="2624"/>
    <col min="29" max="29" width="2" style="2624" customWidth="1"/>
    <col min="30" max="16384" width="9" style="2624"/>
  </cols>
  <sheetData>
    <row r="1" spans="1:34" s="2615" customFormat="1">
      <c r="B1" s="3574" t="s">
        <v>2572</v>
      </c>
      <c r="C1" s="3574"/>
      <c r="D1" s="3574"/>
      <c r="E1" s="3574"/>
      <c r="F1" s="3574"/>
      <c r="G1" s="3573" t="s">
        <v>2573</v>
      </c>
      <c r="H1" s="3573"/>
      <c r="I1" s="3573"/>
      <c r="J1" s="3573"/>
      <c r="K1" s="3573"/>
      <c r="L1" s="3573"/>
      <c r="N1" s="3573" t="s">
        <v>2574</v>
      </c>
      <c r="O1" s="3573"/>
      <c r="P1" s="3573"/>
      <c r="Q1" s="3573"/>
      <c r="R1" s="2616"/>
      <c r="S1" s="3573" t="s">
        <v>2575</v>
      </c>
      <c r="T1" s="3573"/>
      <c r="U1" s="3573"/>
      <c r="V1" s="3573"/>
      <c r="X1" s="3572" t="s">
        <v>2635</v>
      </c>
      <c r="Y1" s="3573"/>
      <c r="Z1" s="3573"/>
      <c r="AA1" s="3573"/>
      <c r="AB1" s="3573"/>
      <c r="AD1" s="3572" t="s">
        <v>2639</v>
      </c>
      <c r="AE1" s="3573"/>
      <c r="AF1" s="3573"/>
      <c r="AG1" s="3573"/>
      <c r="AH1" s="3573"/>
    </row>
    <row r="2" spans="1:34" s="2717" customFormat="1" ht="15" thickBot="1">
      <c r="B2" s="2725" t="s">
        <v>2576</v>
      </c>
      <c r="C2" s="2725" t="s">
        <v>2637</v>
      </c>
      <c r="D2" s="2718" t="s">
        <v>1644</v>
      </c>
      <c r="E2" s="2718" t="s">
        <v>1946</v>
      </c>
      <c r="F2" s="2725" t="s">
        <v>2638</v>
      </c>
      <c r="G2" s="2721"/>
      <c r="H2" s="2720"/>
      <c r="I2" s="2725" t="s">
        <v>2949</v>
      </c>
      <c r="J2" s="2718" t="s">
        <v>2951</v>
      </c>
      <c r="K2" s="2718" t="s">
        <v>2952</v>
      </c>
      <c r="L2" s="2725" t="s">
        <v>2953</v>
      </c>
      <c r="N2" s="2725" t="s">
        <v>2576</v>
      </c>
      <c r="O2" s="2718" t="s">
        <v>2950</v>
      </c>
      <c r="P2" s="2718" t="s">
        <v>1946</v>
      </c>
      <c r="Q2" s="2725" t="s">
        <v>2638</v>
      </c>
      <c r="R2" s="2719"/>
      <c r="S2" s="2725" t="s">
        <v>2576</v>
      </c>
      <c r="T2" s="2718" t="s">
        <v>2950</v>
      </c>
      <c r="U2" s="2718" t="s">
        <v>1946</v>
      </c>
      <c r="V2" s="2725" t="s">
        <v>2638</v>
      </c>
      <c r="X2" s="2725" t="s">
        <v>2576</v>
      </c>
      <c r="Y2" s="2725" t="s">
        <v>2637</v>
      </c>
      <c r="Z2" s="2718" t="s">
        <v>1644</v>
      </c>
      <c r="AA2" s="2718" t="s">
        <v>1946</v>
      </c>
      <c r="AB2" s="2725" t="s">
        <v>2638</v>
      </c>
      <c r="AD2" s="2725" t="s">
        <v>2576</v>
      </c>
      <c r="AE2" s="2725" t="s">
        <v>2637</v>
      </c>
      <c r="AF2" s="2718" t="s">
        <v>1644</v>
      </c>
      <c r="AG2" s="2718" t="s">
        <v>1946</v>
      </c>
      <c r="AH2" s="2725" t="s">
        <v>2638</v>
      </c>
    </row>
    <row r="3" spans="1:34" s="3078" customFormat="1" ht="14.4">
      <c r="A3" s="3090" t="s">
        <v>2962</v>
      </c>
      <c r="B3" s="3079"/>
      <c r="C3" s="3079"/>
      <c r="D3" s="3080"/>
      <c r="E3" s="3080"/>
      <c r="F3" s="3079"/>
      <c r="G3" s="3081"/>
      <c r="H3" s="3082"/>
      <c r="I3" s="3089">
        <f>ROUND(AVERAGE($I4:$I29),2)</f>
        <v>1.9</v>
      </c>
      <c r="J3" s="3089">
        <f>ROUND(AVERAGE($J4:$J29),2)</f>
        <v>1.35</v>
      </c>
      <c r="K3" s="3089">
        <f>ROUND(AVERAGE($K4:$K29),2)</f>
        <v>2.08</v>
      </c>
      <c r="L3" s="3089">
        <f>ROUND(AVERAGE($L4:$L29),2)</f>
        <v>1.33</v>
      </c>
      <c r="N3" s="3081"/>
      <c r="O3" s="3083"/>
      <c r="P3" s="3083"/>
      <c r="Q3" s="3083"/>
      <c r="R3" s="3083"/>
      <c r="S3" s="3081"/>
      <c r="T3" s="3083"/>
      <c r="U3" s="3083"/>
      <c r="V3" s="3083"/>
      <c r="W3" s="3086"/>
      <c r="X3" s="3084">
        <f>ROUND(SUMPRODUCT(PRODUCT(1+N3:N$28)),4)</f>
        <v>1.5516000000000001</v>
      </c>
      <c r="Y3" s="3084">
        <f>ROUND(SUMPRODUCT(PRODUCT(1+O3:O$28)),4)</f>
        <v>1.3649</v>
      </c>
      <c r="Z3" s="3084">
        <f t="shared" ref="Z3:Z26" si="0">Y3</f>
        <v>1.3649</v>
      </c>
      <c r="AA3" s="3084">
        <f>ROUND(SUMPRODUCT(PRODUCT(1+P3:P$28)),4)</f>
        <v>1.6133999999999999</v>
      </c>
      <c r="AB3" s="3084">
        <f>ROUND(SUMPRODUCT(PRODUCT(1+Q3:Q$28)),4)</f>
        <v>1.3713</v>
      </c>
      <c r="AD3" s="3085">
        <f>ROUND(AVERAGE(I3:I$29)/100,4)</f>
        <v>1.9E-2</v>
      </c>
      <c r="AE3" s="3085">
        <f>ROUND(AVERAGE(J3:J$29)/100,4)</f>
        <v>1.35E-2</v>
      </c>
      <c r="AF3" s="3085">
        <f t="shared" ref="AF3:AF27" si="1">AE3</f>
        <v>1.35E-2</v>
      </c>
      <c r="AG3" s="3085">
        <f>ROUND(AVERAGE(K3:K$29)/100,4)</f>
        <v>2.0799999999999999E-2</v>
      </c>
      <c r="AH3" s="3085">
        <f>ROUND(AVERAGE(L3:L$29)/100,4)</f>
        <v>1.3299999999999999E-2</v>
      </c>
    </row>
    <row r="4" spans="1:34" s="2710" customFormat="1" ht="14.4">
      <c r="B4" s="2711"/>
      <c r="C4" s="2711"/>
      <c r="D4" s="2712"/>
      <c r="E4" s="2712"/>
      <c r="F4" s="2711"/>
      <c r="G4" s="2716"/>
      <c r="H4" s="2713"/>
      <c r="I4" s="3074"/>
      <c r="J4" s="3074"/>
      <c r="K4" s="3074"/>
      <c r="L4" s="3074"/>
      <c r="N4" s="2716"/>
      <c r="O4" s="2714"/>
      <c r="P4" s="2714"/>
      <c r="Q4" s="2714"/>
      <c r="R4" s="2714"/>
      <c r="S4" s="2716"/>
      <c r="T4" s="2714"/>
      <c r="U4" s="2714"/>
      <c r="V4" s="2714"/>
      <c r="W4" s="3087"/>
      <c r="X4" s="2715"/>
      <c r="Y4" s="2715"/>
      <c r="Z4" s="2715"/>
      <c r="AA4" s="2715"/>
      <c r="AB4" s="2715"/>
      <c r="AD4" s="2635"/>
      <c r="AE4" s="2635"/>
      <c r="AF4" s="2635"/>
      <c r="AG4" s="2635"/>
      <c r="AH4" s="2635"/>
    </row>
    <row r="5" spans="1:34" s="3062" customFormat="1">
      <c r="A5" s="3060" t="s">
        <v>2991</v>
      </c>
      <c r="B5" s="2749">
        <f t="shared" ref="B5" si="2">B6*(1+N5)</f>
        <v>477.19997390765138</v>
      </c>
      <c r="C5" s="2749">
        <f t="shared" ref="C5" si="3">C6*(1+O5)</f>
        <v>351.84874729536665</v>
      </c>
      <c r="D5" s="2749">
        <f t="shared" ref="D5" si="4">C5</f>
        <v>351.84874729536665</v>
      </c>
      <c r="E5" s="2749">
        <f t="shared" ref="E5" si="5">E6*(1+P5)</f>
        <v>682.29768951465201</v>
      </c>
      <c r="F5" s="2749">
        <f t="shared" ref="F5" si="6">F6*(1+Q5)</f>
        <v>315.26985675409043</v>
      </c>
      <c r="G5" s="2716">
        <v>2020</v>
      </c>
      <c r="H5" s="3061">
        <v>1</v>
      </c>
      <c r="I5" s="3075">
        <v>0</v>
      </c>
      <c r="J5" s="3075">
        <v>0</v>
      </c>
      <c r="K5" s="3075">
        <v>0</v>
      </c>
      <c r="L5" s="3075">
        <v>0</v>
      </c>
      <c r="N5" s="2723">
        <f t="shared" ref="N5" si="7">I5/100</f>
        <v>0</v>
      </c>
      <c r="O5" s="2723">
        <f t="shared" ref="O5" si="8">J5/100</f>
        <v>0</v>
      </c>
      <c r="P5" s="2723">
        <f t="shared" ref="P5" si="9">K5/100</f>
        <v>0</v>
      </c>
      <c r="Q5" s="2723">
        <f t="shared" ref="Q5" si="10">L5/100</f>
        <v>0</v>
      </c>
      <c r="R5" s="3063"/>
      <c r="S5" s="3064"/>
      <c r="T5" s="3063"/>
      <c r="U5" s="3063"/>
      <c r="V5" s="3063"/>
      <c r="W5" s="3088" t="s">
        <v>2963</v>
      </c>
      <c r="X5" s="3065">
        <f>ROUND(IF(项目基本情况!B8="出让",SUMPRODUCT(PRODUCT(1+N5:N$29)),SUMPRODUCT(PRODUCT(1+N5:N$28))),4)</f>
        <v>1.5516000000000001</v>
      </c>
      <c r="Y5" s="3065">
        <f>ROUND(IF(项目基本情况!B8="出让",SUMPRODUCT(PRODUCT(1+O5:O$29)),SUMPRODUCT(PRODUCT(1+O5:O$28))),4)</f>
        <v>1.3649</v>
      </c>
      <c r="Z5" s="3065">
        <f t="shared" ref="Z5" si="11">Y5</f>
        <v>1.3649</v>
      </c>
      <c r="AA5" s="3065">
        <f>ROUND(IF(项目基本情况!B8="出让",SUMPRODUCT(PRODUCT(1+P5:P$29)),SUMPRODUCT(PRODUCT(1+P5:P$28))),4)</f>
        <v>1.6133999999999999</v>
      </c>
      <c r="AB5" s="3065">
        <f>ROUND(IF(项目基本情况!B8="出让",SUMPRODUCT(PRODUCT(1+Q5:Q$29)),SUMPRODUCT(PRODUCT(1+Q5:Q$28))),4)</f>
        <v>1.3713</v>
      </c>
      <c r="AD5" s="3066">
        <f>ROUND(AVERAGE(I5:I$29)/100,4)</f>
        <v>1.9E-2</v>
      </c>
      <c r="AE5" s="3066">
        <f>ROUND(AVERAGE(J5:J$29)/100,4)</f>
        <v>1.35E-2</v>
      </c>
      <c r="AF5" s="3066">
        <f t="shared" ref="AF5" si="12">AE5</f>
        <v>1.35E-2</v>
      </c>
      <c r="AG5" s="3066">
        <f>ROUND(AVERAGE(K5:K$29)/100,4)</f>
        <v>2.0799999999999999E-2</v>
      </c>
      <c r="AH5" s="3066">
        <f>ROUND(AVERAGE(L5:L$29)/100,4)</f>
        <v>1.3299999999999999E-2</v>
      </c>
    </row>
    <row r="6" spans="1:34" s="2722" customFormat="1">
      <c r="A6" s="2617" t="s">
        <v>2987</v>
      </c>
      <c r="B6" s="2630">
        <f t="shared" ref="B6" si="13">B7*(1+N6)</f>
        <v>477.19997390765138</v>
      </c>
      <c r="C6" s="2630">
        <f t="shared" ref="C6" si="14">C7*(1+O6)</f>
        <v>351.84874729536665</v>
      </c>
      <c r="D6" s="2630">
        <f t="shared" ref="D6" si="15">C6</f>
        <v>351.84874729536665</v>
      </c>
      <c r="E6" s="2630">
        <f t="shared" ref="E6" si="16">E7*(1+P6)</f>
        <v>682.29768951465201</v>
      </c>
      <c r="F6" s="2630">
        <f t="shared" ref="F6" si="17">F7*(1+Q6)</f>
        <v>315.26985675409043</v>
      </c>
      <c r="G6" s="2716">
        <v>2019</v>
      </c>
      <c r="H6" s="2620">
        <v>4</v>
      </c>
      <c r="I6" s="2620">
        <v>0</v>
      </c>
      <c r="J6" s="2620">
        <v>0</v>
      </c>
      <c r="K6" s="2620">
        <v>0</v>
      </c>
      <c r="L6" s="2631">
        <v>0</v>
      </c>
      <c r="M6" s="2624"/>
      <c r="N6" s="2625">
        <f t="shared" ref="N6" si="18">I6/100</f>
        <v>0</v>
      </c>
      <c r="O6" s="2626">
        <f t="shared" ref="O6" si="19">J6/100</f>
        <v>0</v>
      </c>
      <c r="P6" s="2626">
        <f t="shared" ref="P6" si="20">K6/100</f>
        <v>0</v>
      </c>
      <c r="Q6" s="2626">
        <f t="shared" ref="Q6" si="21">L6/100</f>
        <v>0</v>
      </c>
      <c r="R6" s="2627"/>
      <c r="S6" s="2633"/>
      <c r="T6" s="2634"/>
      <c r="U6" s="2634"/>
      <c r="V6" s="2634"/>
      <c r="W6" s="2624"/>
      <c r="X6" s="2715">
        <f>ROUND(IF(项目基本情况!B8="出让",SUMPRODUCT(PRODUCT(1+N6:N$29)),SUMPRODUCT(PRODUCT(1+N6:N$28))),4)</f>
        <v>1.5516000000000001</v>
      </c>
      <c r="Y6" s="2715">
        <f>ROUND(IF(项目基本情况!B8="出让",SUMPRODUCT(PRODUCT(1+O6:O$29)),SUMPRODUCT(PRODUCT(1+O6:O$28))),4)</f>
        <v>1.3649</v>
      </c>
      <c r="Z6" s="2715">
        <f t="shared" ref="Z6" si="22">Y6</f>
        <v>1.3649</v>
      </c>
      <c r="AA6" s="2715">
        <f>ROUND(IF(项目基本情况!B8="出让",SUMPRODUCT(PRODUCT(1+P6:P$29)),SUMPRODUCT(PRODUCT(1+P6:P$28))),4)</f>
        <v>1.6133999999999999</v>
      </c>
      <c r="AB6" s="2715">
        <f>ROUND(IF(项目基本情况!B8="出让",SUMPRODUCT(PRODUCT(1+Q6:Q$29)),SUMPRODUCT(PRODUCT(1+Q6:Q$28))),4)</f>
        <v>1.3713</v>
      </c>
      <c r="AC6" s="2624"/>
      <c r="AD6" s="2635">
        <f>ROUND(AVERAGE(I6:I$29)/100,4)</f>
        <v>1.9800000000000002E-2</v>
      </c>
      <c r="AE6" s="2635">
        <f>ROUND(AVERAGE(J6:J$29)/100,4)</f>
        <v>1.41E-2</v>
      </c>
      <c r="AF6" s="2635">
        <f t="shared" ref="AF6" si="23">AE6</f>
        <v>1.41E-2</v>
      </c>
      <c r="AG6" s="2635">
        <f>ROUND(AVERAGE(K6:K$29)/100,4)</f>
        <v>2.1600000000000001E-2</v>
      </c>
      <c r="AH6" s="2635">
        <f>ROUND(AVERAGE(L6:L$29)/100,4)</f>
        <v>1.38E-2</v>
      </c>
    </row>
    <row r="7" spans="1:34" s="2722" customFormat="1" ht="13.8" thickBot="1">
      <c r="A7" s="2617" t="s">
        <v>2986</v>
      </c>
      <c r="B7" s="2630">
        <f t="shared" ref="B7" si="24">B8*(1+N7)</f>
        <v>477.19997390765138</v>
      </c>
      <c r="C7" s="2630">
        <f t="shared" ref="C7" si="25">C8*(1+O7)</f>
        <v>351.84874729536665</v>
      </c>
      <c r="D7" s="2630">
        <f t="shared" ref="D7" si="26">C7</f>
        <v>351.84874729536665</v>
      </c>
      <c r="E7" s="2630">
        <f t="shared" ref="E7" si="27">E8*(1+P7)</f>
        <v>682.29768951465201</v>
      </c>
      <c r="F7" s="2630">
        <f t="shared" ref="F7" si="28">F8*(1+Q7)</f>
        <v>315.26985675409043</v>
      </c>
      <c r="G7" s="2716">
        <v>2019</v>
      </c>
      <c r="H7" s="2620">
        <v>3</v>
      </c>
      <c r="I7" s="2620">
        <v>0.61</v>
      </c>
      <c r="J7" s="2620">
        <v>0.67</v>
      </c>
      <c r="K7" s="2620">
        <v>0.6</v>
      </c>
      <c r="L7" s="2631">
        <v>1.03</v>
      </c>
      <c r="M7" s="2624"/>
      <c r="N7" s="2625">
        <f t="shared" ref="N7" si="29">I7/100</f>
        <v>6.0999999999999995E-3</v>
      </c>
      <c r="O7" s="2626">
        <f t="shared" ref="O7" si="30">J7/100</f>
        <v>6.7000000000000002E-3</v>
      </c>
      <c r="P7" s="2626">
        <f t="shared" ref="P7" si="31">K7/100</f>
        <v>6.0000000000000001E-3</v>
      </c>
      <c r="Q7" s="2626">
        <f t="shared" ref="Q7" si="32">L7/100</f>
        <v>1.03E-2</v>
      </c>
      <c r="R7" s="2627"/>
      <c r="S7" s="2633"/>
      <c r="T7" s="2634"/>
      <c r="U7" s="2634"/>
      <c r="V7" s="2634"/>
      <c r="W7" s="2624"/>
      <c r="X7" s="2715">
        <f>ROUND(IF(项目基本情况!B8="出让",SUMPRODUCT(PRODUCT(1+N7:N$29)),SUMPRODUCT(PRODUCT(1+N7:N$28))),4)</f>
        <v>1.5516000000000001</v>
      </c>
      <c r="Y7" s="2715">
        <f>ROUND(IF(项目基本情况!B8="出让",SUMPRODUCT(PRODUCT(1+O7:O$29)),SUMPRODUCT(PRODUCT(1+O7:O$28))),4)</f>
        <v>1.3649</v>
      </c>
      <c r="Z7" s="2715">
        <f t="shared" ref="Z7" si="33">Y7</f>
        <v>1.3649</v>
      </c>
      <c r="AA7" s="2715">
        <f>ROUND(IF(项目基本情况!B8="出让",SUMPRODUCT(PRODUCT(1+P7:P$29)),SUMPRODUCT(PRODUCT(1+P7:P$28))),4)</f>
        <v>1.6133999999999999</v>
      </c>
      <c r="AB7" s="2715">
        <f>ROUND(IF(项目基本情况!B8="出让",SUMPRODUCT(PRODUCT(1+Q7:Q$29)),SUMPRODUCT(PRODUCT(1+Q7:Q$28))),4)</f>
        <v>1.3713</v>
      </c>
      <c r="AC7" s="2624"/>
      <c r="AD7" s="2635">
        <f>ROUND(AVERAGE(I7:I$29)/100,4)</f>
        <v>2.07E-2</v>
      </c>
      <c r="AE7" s="2635">
        <f>ROUND(AVERAGE(J7:J$29)/100,4)</f>
        <v>1.47E-2</v>
      </c>
      <c r="AF7" s="2635">
        <f t="shared" ref="AF7" si="34">AE7</f>
        <v>1.47E-2</v>
      </c>
      <c r="AG7" s="2635">
        <f>ROUND(AVERAGE(K7:K$29)/100,4)</f>
        <v>2.2599999999999999E-2</v>
      </c>
      <c r="AH7" s="2635">
        <f>ROUND(AVERAGE(L7:L$29)/100,4)</f>
        <v>1.44E-2</v>
      </c>
    </row>
    <row r="8" spans="1:34" s="2722" customFormat="1">
      <c r="A8" s="2617" t="s">
        <v>2983</v>
      </c>
      <c r="B8" s="2630">
        <f t="shared" ref="B8:B13" si="35">B9*(1+N8)</f>
        <v>474.30670301923408</v>
      </c>
      <c r="C8" s="2630">
        <f t="shared" ref="C8" si="36">C9*(1+O8)</f>
        <v>349.50705005996491</v>
      </c>
      <c r="D8" s="2630">
        <f t="shared" ref="D8" si="37">C8</f>
        <v>349.50705005996491</v>
      </c>
      <c r="E8" s="2630">
        <f t="shared" ref="E8" si="38">E9*(1+P8)</f>
        <v>678.22831959706957</v>
      </c>
      <c r="F8" s="2630">
        <f t="shared" ref="F8" si="39">F9*(1+Q8)</f>
        <v>312.0556832169558</v>
      </c>
      <c r="G8" s="2716">
        <v>2019</v>
      </c>
      <c r="H8" s="2618">
        <v>2</v>
      </c>
      <c r="I8" s="2618">
        <v>1.53</v>
      </c>
      <c r="J8" s="2618">
        <v>1.01</v>
      </c>
      <c r="K8" s="2618">
        <v>1.62</v>
      </c>
      <c r="L8" s="2619">
        <v>1.25</v>
      </c>
      <c r="M8" s="2624"/>
      <c r="N8" s="2625">
        <f t="shared" ref="N8" si="40">I8/100</f>
        <v>1.5300000000000001E-2</v>
      </c>
      <c r="O8" s="2626">
        <f t="shared" ref="O8" si="41">J8/100</f>
        <v>1.01E-2</v>
      </c>
      <c r="P8" s="2626">
        <f t="shared" ref="P8" si="42">K8/100</f>
        <v>1.6200000000000003E-2</v>
      </c>
      <c r="Q8" s="2626">
        <f t="shared" ref="Q8" si="43">L8/100</f>
        <v>1.2500000000000001E-2</v>
      </c>
      <c r="R8" s="2627"/>
      <c r="S8" s="2633"/>
      <c r="T8" s="2634"/>
      <c r="U8" s="2634"/>
      <c r="V8" s="2634"/>
      <c r="W8" s="2624"/>
      <c r="X8" s="2715">
        <f>ROUND(IF(项目基本情况!B8="出让",SUMPRODUCT(PRODUCT(1+N8:N$29)),SUMPRODUCT(PRODUCT(1+N8:N$28))),4)</f>
        <v>1.5422</v>
      </c>
      <c r="Y8" s="2715">
        <f>ROUND(IF(项目基本情况!B8="出让",SUMPRODUCT(PRODUCT(1+O8:O$29)),SUMPRODUCT(PRODUCT(1+O8:O$28))),4)</f>
        <v>1.3557999999999999</v>
      </c>
      <c r="Z8" s="2715">
        <f t="shared" ref="Z8" si="44">Y8</f>
        <v>1.3557999999999999</v>
      </c>
      <c r="AA8" s="2715">
        <f>ROUND(IF(项目基本情况!B8="出让",SUMPRODUCT(PRODUCT(1+P8:P$29)),SUMPRODUCT(PRODUCT(1+P8:P$28))),4)</f>
        <v>1.6036999999999999</v>
      </c>
      <c r="AB8" s="2715">
        <f>ROUND(IF(项目基本情况!B8="出让",SUMPRODUCT(PRODUCT(1+Q8:Q$29)),SUMPRODUCT(PRODUCT(1+Q8:Q$28))),4)</f>
        <v>1.3573</v>
      </c>
      <c r="AC8" s="2624"/>
      <c r="AD8" s="2635">
        <f>ROUND(AVERAGE(I8:I$29)/100,4)</f>
        <v>2.1299999999999999E-2</v>
      </c>
      <c r="AE8" s="2635">
        <f>ROUND(AVERAGE(J8:J$29)/100,4)</f>
        <v>1.4999999999999999E-2</v>
      </c>
      <c r="AF8" s="2635">
        <f t="shared" ref="AF8" si="45">AE8</f>
        <v>1.4999999999999999E-2</v>
      </c>
      <c r="AG8" s="2635">
        <f>ROUND(AVERAGE(K8:K$29)/100,4)</f>
        <v>2.3300000000000001E-2</v>
      </c>
      <c r="AH8" s="2635">
        <f>ROUND(AVERAGE(L8:L$29)/100,4)</f>
        <v>1.46E-2</v>
      </c>
    </row>
    <row r="9" spans="1:34" s="2722" customFormat="1" ht="13.8" thickBot="1">
      <c r="A9" s="2617" t="s">
        <v>2982</v>
      </c>
      <c r="B9" s="2630">
        <f t="shared" si="35"/>
        <v>467.15916775261894</v>
      </c>
      <c r="C9" s="2630">
        <f t="shared" ref="C9" si="46">C10*(1+O9)</f>
        <v>346.01232557169084</v>
      </c>
      <c r="D9" s="2630">
        <f t="shared" ref="D9" si="47">C9</f>
        <v>346.01232557169084</v>
      </c>
      <c r="E9" s="2630">
        <f t="shared" ref="E9" si="48">E10*(1+P9)</f>
        <v>667.41617752122568</v>
      </c>
      <c r="F9" s="2630">
        <f t="shared" ref="F9" si="49">F10*(1+Q9)</f>
        <v>308.20314391798104</v>
      </c>
      <c r="G9" s="2716">
        <v>2019</v>
      </c>
      <c r="H9" s="2620">
        <v>1</v>
      </c>
      <c r="I9" s="2620">
        <v>0.6</v>
      </c>
      <c r="J9" s="2620">
        <v>0.37</v>
      </c>
      <c r="K9" s="2620">
        <v>0.63</v>
      </c>
      <c r="L9" s="2631">
        <v>1.1299999999999999</v>
      </c>
      <c r="M9" s="2624"/>
      <c r="N9" s="2625">
        <f t="shared" ref="N9" si="50">I9/100</f>
        <v>6.0000000000000001E-3</v>
      </c>
      <c r="O9" s="2626">
        <f t="shared" ref="O9" si="51">J9/100</f>
        <v>3.7000000000000002E-3</v>
      </c>
      <c r="P9" s="2626">
        <f t="shared" ref="P9" si="52">K9/100</f>
        <v>6.3E-3</v>
      </c>
      <c r="Q9" s="2626">
        <f t="shared" ref="Q9" si="53">L9/100</f>
        <v>1.1299999999999999E-2</v>
      </c>
      <c r="R9" s="2627"/>
      <c r="S9" s="2633">
        <f>B9/B10-1</f>
        <v>6.0000000000000053E-3</v>
      </c>
      <c r="T9" s="2634">
        <f>C9/C10-1</f>
        <v>3.7000000000000366E-3</v>
      </c>
      <c r="U9" s="2634">
        <f>E9/E10-1</f>
        <v>6.2999999999999723E-3</v>
      </c>
      <c r="V9" s="2634">
        <f>F9/F10-1</f>
        <v>1.1300000000000088E-2</v>
      </c>
      <c r="W9" s="2624"/>
      <c r="X9" s="2715">
        <f>ROUND(IF(项目基本情况!B8="出让",SUMPRODUCT(PRODUCT(1+N9:N$29)),SUMPRODUCT(PRODUCT(1+N9:N$28))),4)</f>
        <v>1.5189999999999999</v>
      </c>
      <c r="Y9" s="2715">
        <f>ROUND(IF(项目基本情况!B8="出让",SUMPRODUCT(PRODUCT(1+O9:O$29)),SUMPRODUCT(PRODUCT(1+O9:O$28))),4)</f>
        <v>1.3423</v>
      </c>
      <c r="Z9" s="2715">
        <f t="shared" ref="Z9" si="54">Y9</f>
        <v>1.3423</v>
      </c>
      <c r="AA9" s="2715">
        <f>ROUND(IF(项目基本情况!B8="出让",SUMPRODUCT(PRODUCT(1+P9:P$29)),SUMPRODUCT(PRODUCT(1+P9:P$28))),4)</f>
        <v>1.5782</v>
      </c>
      <c r="AB9" s="2715">
        <f>ROUND(IF(项目基本情况!B8="出让",SUMPRODUCT(PRODUCT(1+Q9:Q$29)),SUMPRODUCT(PRODUCT(1+Q9:Q$28))),4)</f>
        <v>1.3405</v>
      </c>
      <c r="AC9" s="2624"/>
      <c r="AD9" s="2635">
        <f>ROUND(AVERAGE(I9:I$29)/100,4)</f>
        <v>2.1600000000000001E-2</v>
      </c>
      <c r="AE9" s="2635">
        <f>ROUND(AVERAGE(J9:J$29)/100,4)</f>
        <v>1.5299999999999999E-2</v>
      </c>
      <c r="AF9" s="2635">
        <f t="shared" ref="AF9" si="55">AE9</f>
        <v>1.5299999999999999E-2</v>
      </c>
      <c r="AG9" s="2635">
        <f>ROUND(AVERAGE(K9:K$29)/100,4)</f>
        <v>2.3699999999999999E-2</v>
      </c>
      <c r="AH9" s="2635">
        <f>ROUND(AVERAGE(L9:L$29)/100,4)</f>
        <v>1.47E-2</v>
      </c>
    </row>
    <row r="10" spans="1:34" s="2722" customFormat="1">
      <c r="A10" s="2617" t="s">
        <v>2979</v>
      </c>
      <c r="B10" s="3174">
        <f t="shared" si="35"/>
        <v>464.37293017158942</v>
      </c>
      <c r="C10" s="3174">
        <f t="shared" ref="C10" si="56">C11*(1+O10)</f>
        <v>344.73679941385956</v>
      </c>
      <c r="D10" s="3174">
        <f t="shared" ref="D10" si="57">C10</f>
        <v>344.73679941385956</v>
      </c>
      <c r="E10" s="3174">
        <f t="shared" ref="E10" si="58">E11*(1+P10)</f>
        <v>663.2377795103107</v>
      </c>
      <c r="F10" s="3175">
        <f t="shared" ref="F10" si="59">F11*(1+Q10)</f>
        <v>304.75936311478398</v>
      </c>
      <c r="G10" s="3576">
        <v>2018</v>
      </c>
      <c r="H10" s="2618">
        <v>4</v>
      </c>
      <c r="I10" s="2618">
        <v>0.96</v>
      </c>
      <c r="J10" s="2618">
        <v>1.03</v>
      </c>
      <c r="K10" s="2618">
        <v>0.92</v>
      </c>
      <c r="L10" s="2619">
        <v>1.29</v>
      </c>
      <c r="M10" s="2624"/>
      <c r="N10" s="2625">
        <f t="shared" ref="N10" si="60">I10/100</f>
        <v>9.5999999999999992E-3</v>
      </c>
      <c r="O10" s="2626">
        <f t="shared" ref="O10" si="61">J10/100</f>
        <v>1.03E-2</v>
      </c>
      <c r="P10" s="2626">
        <f t="shared" ref="P10" si="62">K10/100</f>
        <v>9.1999999999999998E-3</v>
      </c>
      <c r="Q10" s="2626">
        <f t="shared" ref="Q10" si="63">L10/100</f>
        <v>1.29E-2</v>
      </c>
      <c r="R10" s="2627"/>
      <c r="S10" s="2628"/>
      <c r="T10" s="2629"/>
      <c r="U10" s="2629"/>
      <c r="V10" s="2629"/>
      <c r="W10" s="2624"/>
      <c r="X10" s="2715">
        <f>ROUND(SUMPRODUCT(PRODUCT(1+N10:N$28)),4)</f>
        <v>1.5099</v>
      </c>
      <c r="Y10" s="2715">
        <f>ROUND(SUMPRODUCT(PRODUCT(1+O10:O$28)),4)</f>
        <v>1.3372999999999999</v>
      </c>
      <c r="Z10" s="2715">
        <f t="shared" ref="Z10" si="64">Y10</f>
        <v>1.3372999999999999</v>
      </c>
      <c r="AA10" s="2715">
        <f>ROUND(SUMPRODUCT(PRODUCT(1+P10:P$28)),4)</f>
        <v>1.5683</v>
      </c>
      <c r="AB10" s="2715">
        <f>ROUND(SUMPRODUCT(PRODUCT(1+Q10:Q$28)),4)</f>
        <v>1.3255999999999999</v>
      </c>
      <c r="AC10" s="2624"/>
      <c r="AD10" s="2635">
        <f>ROUND(AVERAGE(I10:I$29)/100,4)</f>
        <v>2.24E-2</v>
      </c>
      <c r="AE10" s="2635">
        <f>ROUND(AVERAGE(J10:J$29)/100,4)</f>
        <v>1.5800000000000002E-2</v>
      </c>
      <c r="AF10" s="2635">
        <f t="shared" ref="AF10" si="65">AE10</f>
        <v>1.5800000000000002E-2</v>
      </c>
      <c r="AG10" s="2635">
        <f>ROUND(AVERAGE(K10:K$29)/100,4)</f>
        <v>2.4500000000000001E-2</v>
      </c>
      <c r="AH10" s="2635">
        <f>ROUND(AVERAGE(L10:L$29)/100,4)</f>
        <v>1.49E-2</v>
      </c>
    </row>
    <row r="11" spans="1:34" s="2722" customFormat="1" ht="14.4" customHeight="1">
      <c r="A11" s="2617" t="s">
        <v>2972</v>
      </c>
      <c r="B11" s="2630">
        <f t="shared" si="35"/>
        <v>459.95733971036987</v>
      </c>
      <c r="C11" s="2630">
        <f t="shared" ref="C11" si="66">C12*(1+O11)</f>
        <v>341.22221064422405</v>
      </c>
      <c r="D11" s="2630">
        <f t="shared" ref="D11" si="67">C11</f>
        <v>341.22221064422405</v>
      </c>
      <c r="E11" s="2630">
        <f t="shared" ref="E11" si="68">E12*(1+P11)</f>
        <v>657.19161663724799</v>
      </c>
      <c r="F11" s="2630">
        <f t="shared" ref="F11" si="69">F12*(1+Q11)</f>
        <v>300.87803644464805</v>
      </c>
      <c r="G11" s="3576"/>
      <c r="H11" s="2620">
        <v>3</v>
      </c>
      <c r="I11" s="2620">
        <v>1.51</v>
      </c>
      <c r="J11" s="2620">
        <v>1.41</v>
      </c>
      <c r="K11" s="2620">
        <v>1.52</v>
      </c>
      <c r="L11" s="2631">
        <v>1.74</v>
      </c>
      <c r="M11" s="2624"/>
      <c r="N11" s="2625">
        <f t="shared" ref="N11" si="70">I11/100</f>
        <v>1.5100000000000001E-2</v>
      </c>
      <c r="O11" s="2626">
        <f t="shared" ref="O11" si="71">J11/100</f>
        <v>1.41E-2</v>
      </c>
      <c r="P11" s="2626">
        <f t="shared" ref="P11" si="72">K11/100</f>
        <v>1.52E-2</v>
      </c>
      <c r="Q11" s="2626">
        <f t="shared" ref="Q11" si="73">L11/100</f>
        <v>1.7399999999999999E-2</v>
      </c>
      <c r="R11" s="2627"/>
      <c r="S11" s="2625"/>
      <c r="T11" s="2626"/>
      <c r="U11" s="2626"/>
      <c r="V11" s="2626"/>
      <c r="W11" s="2624"/>
      <c r="X11" s="2715">
        <f>ROUND(SUMPRODUCT(PRODUCT(1+N11:N$28)),4)</f>
        <v>1.4956</v>
      </c>
      <c r="Y11" s="2715">
        <f>ROUND(SUMPRODUCT(PRODUCT(1+O11:O$28)),4)</f>
        <v>1.3237000000000001</v>
      </c>
      <c r="Z11" s="2715">
        <f t="shared" ref="Z11" si="74">Y11</f>
        <v>1.3237000000000001</v>
      </c>
      <c r="AA11" s="2715">
        <f>ROUND(SUMPRODUCT(PRODUCT(1+P11:P$28)),4)</f>
        <v>1.554</v>
      </c>
      <c r="AB11" s="2715">
        <f>ROUND(SUMPRODUCT(PRODUCT(1+Q11:Q$28)),4)</f>
        <v>1.3087</v>
      </c>
      <c r="AC11" s="2624"/>
      <c r="AD11" s="2635">
        <f>ROUND(AVERAGE(I11:I$29)/100,4)</f>
        <v>2.3099999999999999E-2</v>
      </c>
      <c r="AE11" s="2635">
        <f>ROUND(AVERAGE(J11:J$29)/100,4)</f>
        <v>1.61E-2</v>
      </c>
      <c r="AF11" s="2635">
        <f t="shared" ref="AF11" si="75">AE11</f>
        <v>1.61E-2</v>
      </c>
      <c r="AG11" s="2635">
        <f>ROUND(AVERAGE(K11:K$29)/100,4)</f>
        <v>2.53E-2</v>
      </c>
      <c r="AH11" s="2635">
        <f>ROUND(AVERAGE(L11:L$29)/100,4)</f>
        <v>1.4999999999999999E-2</v>
      </c>
    </row>
    <row r="12" spans="1:34" s="2722" customFormat="1" ht="14.4" customHeight="1">
      <c r="A12" s="2617" t="s">
        <v>2973</v>
      </c>
      <c r="B12" s="2630">
        <f t="shared" si="35"/>
        <v>453.11529869999993</v>
      </c>
      <c r="C12" s="2630">
        <f t="shared" ref="C12" si="76">C13*(1+O12)</f>
        <v>336.47787264000004</v>
      </c>
      <c r="D12" s="2630">
        <f t="shared" ref="D12" si="77">C12</f>
        <v>336.47787264000004</v>
      </c>
      <c r="E12" s="2630">
        <f t="shared" ref="E12" si="78">E13*(1+P12)</f>
        <v>647.35186823999993</v>
      </c>
      <c r="F12" s="2630">
        <f t="shared" ref="F12" si="79">F13*(1+Q12)</f>
        <v>295.73229452000004</v>
      </c>
      <c r="G12" s="3576"/>
      <c r="H12" s="2621">
        <v>2</v>
      </c>
      <c r="I12" s="2621">
        <v>1.49</v>
      </c>
      <c r="J12" s="2621">
        <v>0.96</v>
      </c>
      <c r="K12" s="2621">
        <v>1.58</v>
      </c>
      <c r="L12" s="2632">
        <v>2.44</v>
      </c>
      <c r="M12" s="2624"/>
      <c r="N12" s="2625">
        <f t="shared" ref="N12" si="80">I12/100</f>
        <v>1.49E-2</v>
      </c>
      <c r="O12" s="2626">
        <f t="shared" ref="O12" si="81">J12/100</f>
        <v>9.5999999999999992E-3</v>
      </c>
      <c r="P12" s="2626">
        <f t="shared" ref="P12" si="82">K12/100</f>
        <v>1.5800000000000002E-2</v>
      </c>
      <c r="Q12" s="2626">
        <f t="shared" ref="Q12" si="83">L12/100</f>
        <v>2.4399999999999998E-2</v>
      </c>
      <c r="R12" s="2627"/>
      <c r="S12" s="2625"/>
      <c r="T12" s="2626"/>
      <c r="U12" s="2626"/>
      <c r="V12" s="2626"/>
      <c r="W12" s="2624"/>
      <c r="X12" s="2715">
        <f>ROUND(SUMPRODUCT(PRODUCT(1+N12:N$28)),4)</f>
        <v>1.4733000000000001</v>
      </c>
      <c r="Y12" s="2715">
        <f>ROUND(SUMPRODUCT(PRODUCT(1+O12:O$28)),4)</f>
        <v>1.3052999999999999</v>
      </c>
      <c r="Z12" s="2715">
        <f t="shared" ref="Z12" si="84">Y12</f>
        <v>1.3052999999999999</v>
      </c>
      <c r="AA12" s="2715">
        <f>ROUND(SUMPRODUCT(PRODUCT(1+P12:P$28)),4)</f>
        <v>1.5306999999999999</v>
      </c>
      <c r="AB12" s="2715">
        <f>ROUND(SUMPRODUCT(PRODUCT(1+Q12:Q$28)),4)</f>
        <v>1.2863</v>
      </c>
      <c r="AC12" s="2624"/>
      <c r="AD12" s="2635">
        <f>ROUND(AVERAGE(I12:I$29)/100,4)</f>
        <v>2.35E-2</v>
      </c>
      <c r="AE12" s="2635">
        <f>ROUND(AVERAGE(J12:J$29)/100,4)</f>
        <v>1.6199999999999999E-2</v>
      </c>
      <c r="AF12" s="2635">
        <f t="shared" ref="AF12" si="85">AE12</f>
        <v>1.6199999999999999E-2</v>
      </c>
      <c r="AG12" s="2635">
        <f>ROUND(AVERAGE(K12:K$29)/100,4)</f>
        <v>2.5899999999999999E-2</v>
      </c>
      <c r="AH12" s="2635">
        <f>ROUND(AVERAGE(L12:L$29)/100,4)</f>
        <v>1.49E-2</v>
      </c>
    </row>
    <row r="13" spans="1:34" s="2722" customFormat="1" ht="15" customHeight="1" thickBot="1">
      <c r="A13" s="2617" t="s">
        <v>2969</v>
      </c>
      <c r="B13" s="2630">
        <f t="shared" si="35"/>
        <v>446.46299999999997</v>
      </c>
      <c r="C13" s="2630">
        <f t="shared" ref="C13" si="86">C14*(1+O13)</f>
        <v>333.27840000000003</v>
      </c>
      <c r="D13" s="2630">
        <f t="shared" ref="D13:D18" si="87">C13</f>
        <v>333.27840000000003</v>
      </c>
      <c r="E13" s="2630">
        <f t="shared" ref="E13" si="88">E14*(1+P13)</f>
        <v>637.28279999999995</v>
      </c>
      <c r="F13" s="2630">
        <f t="shared" ref="F13" si="89">F14*(1+Q13)</f>
        <v>288.68830000000003</v>
      </c>
      <c r="G13" s="3582"/>
      <c r="H13" s="2620">
        <v>1</v>
      </c>
      <c r="I13" s="2620">
        <v>1.7</v>
      </c>
      <c r="J13" s="2620">
        <v>1.92</v>
      </c>
      <c r="K13" s="2620">
        <v>1.64</v>
      </c>
      <c r="L13" s="2631">
        <v>2.0099999999999998</v>
      </c>
      <c r="M13" s="2624"/>
      <c r="N13" s="2625">
        <f t="shared" ref="N13:N18" si="90">I13/100</f>
        <v>1.7000000000000001E-2</v>
      </c>
      <c r="O13" s="2626">
        <f t="shared" ref="O13" si="91">J13/100</f>
        <v>1.9199999999999998E-2</v>
      </c>
      <c r="P13" s="2626">
        <f t="shared" ref="P13" si="92">K13/100</f>
        <v>1.6399999999999998E-2</v>
      </c>
      <c r="Q13" s="2626">
        <f t="shared" ref="Q13" si="93">L13/100</f>
        <v>2.0099999999999996E-2</v>
      </c>
      <c r="R13" s="2627"/>
      <c r="S13" s="2633">
        <f>B13/B14-1</f>
        <v>1.6999999999999904E-2</v>
      </c>
      <c r="T13" s="2634">
        <f>C13/C14-1</f>
        <v>1.9200000000000106E-2</v>
      </c>
      <c r="U13" s="2634">
        <f>E13/E14-1</f>
        <v>1.639999999999997E-2</v>
      </c>
      <c r="V13" s="2634">
        <f>F13/F14-1</f>
        <v>2.0100000000000007E-2</v>
      </c>
      <c r="W13" s="2624"/>
      <c r="X13" s="2715">
        <f>ROUND(SUMPRODUCT(PRODUCT(1+N13:N$28)),4)</f>
        <v>1.4517</v>
      </c>
      <c r="Y13" s="2715">
        <f>ROUND(SUMPRODUCT(PRODUCT(1+O13:O$28)),4)</f>
        <v>1.2928999999999999</v>
      </c>
      <c r="Z13" s="2715">
        <f t="shared" ref="Z13" si="94">Y13</f>
        <v>1.2928999999999999</v>
      </c>
      <c r="AA13" s="2715">
        <f>ROUND(SUMPRODUCT(PRODUCT(1+P13:P$28)),4)</f>
        <v>1.5068999999999999</v>
      </c>
      <c r="AB13" s="2715">
        <f>ROUND(SUMPRODUCT(PRODUCT(1+Q13:Q$28)),4)</f>
        <v>1.2557</v>
      </c>
      <c r="AC13" s="2624"/>
      <c r="AD13" s="2635">
        <f>ROUND(AVERAGE(I13:I$29)/100,4)</f>
        <v>2.4E-2</v>
      </c>
      <c r="AE13" s="2635">
        <f>ROUND(AVERAGE(J13:J$29)/100,4)</f>
        <v>1.66E-2</v>
      </c>
      <c r="AF13" s="2635">
        <f t="shared" ref="AF13" si="95">AE13</f>
        <v>1.66E-2</v>
      </c>
      <c r="AG13" s="2635">
        <f>ROUND(AVERAGE(K13:K$29)/100,4)</f>
        <v>2.6499999999999999E-2</v>
      </c>
      <c r="AH13" s="2635">
        <f>ROUND(AVERAGE(L13:L$29)/100,4)</f>
        <v>1.43E-2</v>
      </c>
    </row>
    <row r="14" spans="1:34">
      <c r="A14" s="2617" t="s">
        <v>2960</v>
      </c>
      <c r="B14" s="3092">
        <v>439</v>
      </c>
      <c r="C14" s="3092">
        <v>327</v>
      </c>
      <c r="D14" s="3092">
        <f t="shared" si="87"/>
        <v>327</v>
      </c>
      <c r="E14" s="3092">
        <v>627</v>
      </c>
      <c r="F14" s="3093">
        <v>283</v>
      </c>
      <c r="G14" s="3581">
        <v>2017</v>
      </c>
      <c r="H14" s="2618">
        <v>4</v>
      </c>
      <c r="I14" s="2618">
        <v>1.71</v>
      </c>
      <c r="J14" s="2618">
        <v>1.78</v>
      </c>
      <c r="K14" s="2618">
        <v>1.71</v>
      </c>
      <c r="L14" s="2619">
        <v>1.43</v>
      </c>
      <c r="N14" s="2638">
        <f t="shared" si="90"/>
        <v>1.7100000000000001E-2</v>
      </c>
      <c r="O14" s="2639">
        <f t="shared" ref="O14" si="96">J14/100</f>
        <v>1.78E-2</v>
      </c>
      <c r="P14" s="2639">
        <f t="shared" ref="P14" si="97">K14/100</f>
        <v>1.7100000000000001E-2</v>
      </c>
      <c r="Q14" s="2639">
        <f t="shared" ref="Q14" si="98">L14/100</f>
        <v>1.43E-2</v>
      </c>
      <c r="R14" s="2627"/>
      <c r="S14" s="2628"/>
      <c r="T14" s="2629"/>
      <c r="U14" s="2629"/>
      <c r="V14" s="2629"/>
      <c r="X14" s="2715">
        <f>ROUND(SUMPRODUCT(PRODUCT(1+N14:N$28)),4)</f>
        <v>1.4274</v>
      </c>
      <c r="Y14" s="2715">
        <f>ROUND(SUMPRODUCT(PRODUCT(1+O14:O$28)),4)</f>
        <v>1.2685</v>
      </c>
      <c r="Z14" s="2715">
        <f t="shared" si="0"/>
        <v>1.2685</v>
      </c>
      <c r="AA14" s="2715">
        <f>ROUND(SUMPRODUCT(PRODUCT(1+P14:P$28)),4)</f>
        <v>1.4825999999999999</v>
      </c>
      <c r="AB14" s="2715">
        <f>ROUND(SUMPRODUCT(PRODUCT(1+Q14:Q$28)),4)</f>
        <v>1.2309000000000001</v>
      </c>
      <c r="AD14" s="2635">
        <f>ROUND(AVERAGE(I14:I$29)/100,4)</f>
        <v>2.4500000000000001E-2</v>
      </c>
      <c r="AE14" s="2635">
        <f>ROUND(AVERAGE(J14:J$29)/100,4)</f>
        <v>1.6500000000000001E-2</v>
      </c>
      <c r="AF14" s="2635">
        <f t="shared" si="1"/>
        <v>1.6500000000000001E-2</v>
      </c>
      <c r="AG14" s="2635">
        <f>ROUND(AVERAGE(K14:K$29)/100,4)</f>
        <v>2.7099999999999999E-2</v>
      </c>
      <c r="AH14" s="2635">
        <f>ROUND(AVERAGE(L14:L$29)/100,4)</f>
        <v>1.3899999999999999E-2</v>
      </c>
    </row>
    <row r="15" spans="1:34" s="2722" customFormat="1" ht="14.4" customHeight="1">
      <c r="A15" s="2617" t="s">
        <v>2964</v>
      </c>
      <c r="B15" s="2630">
        <f t="shared" ref="B15:C17" si="99">B16*(1+N15)</f>
        <v>431.80730811680002</v>
      </c>
      <c r="C15" s="2630">
        <f t="shared" si="99"/>
        <v>320.57880516480003</v>
      </c>
      <c r="D15" s="2630">
        <f t="shared" si="87"/>
        <v>320.57880516480003</v>
      </c>
      <c r="E15" s="2630">
        <f t="shared" ref="E15:F17" si="100">E16*(1+P15)</f>
        <v>615.96110553196797</v>
      </c>
      <c r="F15" s="2630">
        <f t="shared" si="100"/>
        <v>279.46777300108801</v>
      </c>
      <c r="G15" s="3576"/>
      <c r="H15" s="2620">
        <v>3</v>
      </c>
      <c r="I15" s="2620">
        <v>2.98</v>
      </c>
      <c r="J15" s="2620">
        <v>2.11</v>
      </c>
      <c r="K15" s="2620">
        <v>3.24</v>
      </c>
      <c r="L15" s="2631">
        <v>1.72</v>
      </c>
      <c r="M15" s="2624"/>
      <c r="N15" s="2625">
        <f t="shared" si="90"/>
        <v>2.98E-2</v>
      </c>
      <c r="O15" s="2643">
        <f t="shared" ref="O15:O16" si="101">J15/100</f>
        <v>2.1099999999999997E-2</v>
      </c>
      <c r="P15" s="2643">
        <f t="shared" ref="P15:P16" si="102">K15/100</f>
        <v>3.2400000000000005E-2</v>
      </c>
      <c r="Q15" s="2643">
        <f t="shared" ref="Q15:Q16" si="103">L15/100</f>
        <v>1.72E-2</v>
      </c>
      <c r="R15" s="2627"/>
      <c r="S15" s="2625"/>
      <c r="T15" s="2626"/>
      <c r="U15" s="2626"/>
      <c r="V15" s="2626"/>
      <c r="W15" s="2624"/>
      <c r="X15" s="2715">
        <f>ROUND(SUMPRODUCT(PRODUCT(1+N15:N$28)),4)</f>
        <v>1.4034</v>
      </c>
      <c r="Y15" s="2715">
        <f>ROUND(SUMPRODUCT(PRODUCT(1+O15:O$28)),4)</f>
        <v>1.2463</v>
      </c>
      <c r="Z15" s="2715">
        <f t="shared" si="0"/>
        <v>1.2463</v>
      </c>
      <c r="AA15" s="2715">
        <f>ROUND(SUMPRODUCT(PRODUCT(1+P15:P$28)),4)</f>
        <v>1.4577</v>
      </c>
      <c r="AB15" s="2715">
        <f>ROUND(SUMPRODUCT(PRODUCT(1+Q15:Q$28)),4)</f>
        <v>1.2136</v>
      </c>
      <c r="AC15" s="2624"/>
      <c r="AD15" s="2635">
        <f>ROUND(AVERAGE(I15:I$29)/100,4)</f>
        <v>2.4899999999999999E-2</v>
      </c>
      <c r="AE15" s="2635">
        <f>ROUND(AVERAGE(J15:J$29)/100,4)</f>
        <v>1.6400000000000001E-2</v>
      </c>
      <c r="AF15" s="2635">
        <f t="shared" si="1"/>
        <v>1.6400000000000001E-2</v>
      </c>
      <c r="AG15" s="2635">
        <f>ROUND(AVERAGE(K15:K$29)/100,4)</f>
        <v>2.7799999999999998E-2</v>
      </c>
      <c r="AH15" s="2635">
        <f>ROUND(AVERAGE(L15:L$29)/100,4)</f>
        <v>1.3899999999999999E-2</v>
      </c>
    </row>
    <row r="16" spans="1:34" s="2615" customFormat="1" ht="14.4" customHeight="1">
      <c r="A16" s="2617" t="s">
        <v>2577</v>
      </c>
      <c r="B16" s="2630">
        <f t="shared" si="99"/>
        <v>419.31181600000002</v>
      </c>
      <c r="C16" s="2630">
        <f t="shared" si="99"/>
        <v>313.95436800000004</v>
      </c>
      <c r="D16" s="2630">
        <f t="shared" si="87"/>
        <v>313.95436800000004</v>
      </c>
      <c r="E16" s="2630">
        <f t="shared" si="100"/>
        <v>596.63028431999999</v>
      </c>
      <c r="F16" s="2630">
        <f t="shared" si="100"/>
        <v>274.74220703999998</v>
      </c>
      <c r="G16" s="3576"/>
      <c r="H16" s="2621">
        <v>2</v>
      </c>
      <c r="I16" s="2621">
        <v>3.4</v>
      </c>
      <c r="J16" s="2621">
        <v>2</v>
      </c>
      <c r="K16" s="2621">
        <v>3.82</v>
      </c>
      <c r="L16" s="2632">
        <v>1.68</v>
      </c>
      <c r="N16" s="2625">
        <f t="shared" si="90"/>
        <v>3.4000000000000002E-2</v>
      </c>
      <c r="O16" s="2643">
        <f t="shared" si="101"/>
        <v>0.02</v>
      </c>
      <c r="P16" s="2643">
        <f t="shared" si="102"/>
        <v>3.8199999999999998E-2</v>
      </c>
      <c r="Q16" s="2643">
        <f t="shared" si="103"/>
        <v>1.6799999999999999E-2</v>
      </c>
      <c r="R16" s="2616"/>
      <c r="S16" s="2625"/>
      <c r="T16" s="2626"/>
      <c r="U16" s="2626"/>
      <c r="V16" s="2626"/>
      <c r="X16" s="2715">
        <f>ROUND(SUMPRODUCT(PRODUCT(1+N16:N$28)),4)</f>
        <v>1.3628</v>
      </c>
      <c r="Y16" s="2715">
        <f>ROUND(SUMPRODUCT(PRODUCT(1+O16:O$28)),4)</f>
        <v>1.2205999999999999</v>
      </c>
      <c r="Z16" s="2715">
        <f t="shared" si="0"/>
        <v>1.2205999999999999</v>
      </c>
      <c r="AA16" s="2715">
        <f>ROUND(SUMPRODUCT(PRODUCT(1+P16:P$28)),4)</f>
        <v>1.4118999999999999</v>
      </c>
      <c r="AB16" s="2715">
        <f>ROUND(SUMPRODUCT(PRODUCT(1+Q16:Q$28)),4)</f>
        <v>1.1930000000000001</v>
      </c>
      <c r="AD16" s="2635">
        <f>ROUND(AVERAGE(I16:I$29)/100,4)</f>
        <v>2.46E-2</v>
      </c>
      <c r="AE16" s="2635">
        <f>ROUND(AVERAGE(J16:J$29)/100,4)</f>
        <v>1.6E-2</v>
      </c>
      <c r="AF16" s="2635">
        <f t="shared" si="1"/>
        <v>1.6E-2</v>
      </c>
      <c r="AG16" s="2635">
        <f>ROUND(AVERAGE(K16:K$29)/100,4)</f>
        <v>2.75E-2</v>
      </c>
      <c r="AH16" s="2635">
        <f>ROUND(AVERAGE(L16:L$29)/100,4)</f>
        <v>1.37E-2</v>
      </c>
    </row>
    <row r="17" spans="1:34" s="2722" customFormat="1" ht="15" customHeight="1" thickBot="1">
      <c r="A17" s="2617" t="s">
        <v>2578</v>
      </c>
      <c r="B17" s="2630">
        <f t="shared" si="99"/>
        <v>405.524</v>
      </c>
      <c r="C17" s="2630">
        <f t="shared" si="99"/>
        <v>307.79840000000002</v>
      </c>
      <c r="D17" s="2630">
        <f t="shared" si="87"/>
        <v>307.79840000000002</v>
      </c>
      <c r="E17" s="2630">
        <f t="shared" si="100"/>
        <v>574.67759999999998</v>
      </c>
      <c r="F17" s="2630">
        <f t="shared" si="100"/>
        <v>270.20280000000002</v>
      </c>
      <c r="G17" s="3582"/>
      <c r="H17" s="2620">
        <v>1</v>
      </c>
      <c r="I17" s="2620">
        <v>3.45</v>
      </c>
      <c r="J17" s="2620">
        <v>1.92</v>
      </c>
      <c r="K17" s="2620">
        <v>3.92</v>
      </c>
      <c r="L17" s="2631">
        <v>1.58</v>
      </c>
      <c r="M17" s="2624"/>
      <c r="N17" s="2633">
        <f t="shared" si="90"/>
        <v>3.4500000000000003E-2</v>
      </c>
      <c r="O17" s="2634">
        <f t="shared" ref="O17" si="104">J17/100</f>
        <v>1.9199999999999998E-2</v>
      </c>
      <c r="P17" s="2634">
        <f t="shared" ref="P17" si="105">K17/100</f>
        <v>3.9199999999999999E-2</v>
      </c>
      <c r="Q17" s="2634">
        <f t="shared" ref="Q17" si="106">L17/100</f>
        <v>1.5800000000000002E-2</v>
      </c>
      <c r="R17" s="2627"/>
      <c r="S17" s="2633">
        <f>B17/B18-1</f>
        <v>3.4499999999999975E-2</v>
      </c>
      <c r="T17" s="2634">
        <f>C17/C18-1</f>
        <v>1.9200000000000106E-2</v>
      </c>
      <c r="U17" s="2634">
        <f>E17/E18-1</f>
        <v>3.9199999999999902E-2</v>
      </c>
      <c r="V17" s="2634">
        <f>F17/F18-1</f>
        <v>1.5800000000000036E-2</v>
      </c>
      <c r="W17" s="2624"/>
      <c r="X17" s="2715">
        <f>ROUND(SUMPRODUCT(PRODUCT(1+N17:N$28)),4)</f>
        <v>1.3180000000000001</v>
      </c>
      <c r="Y17" s="2715">
        <f>ROUND(SUMPRODUCT(PRODUCT(1+O17:O$28)),4)</f>
        <v>1.1966000000000001</v>
      </c>
      <c r="Z17" s="2715">
        <f t="shared" si="0"/>
        <v>1.1966000000000001</v>
      </c>
      <c r="AA17" s="2715">
        <f>ROUND(SUMPRODUCT(PRODUCT(1+P17:P$28)),4)</f>
        <v>1.36</v>
      </c>
      <c r="AB17" s="2715">
        <f>ROUND(SUMPRODUCT(PRODUCT(1+Q17:Q$28)),4)</f>
        <v>1.1733</v>
      </c>
      <c r="AC17" s="2624"/>
      <c r="AD17" s="2635">
        <f>ROUND(AVERAGE(I17:I$29)/100,4)</f>
        <v>2.3900000000000001E-2</v>
      </c>
      <c r="AE17" s="2635">
        <f>ROUND(AVERAGE(J17:J$29)/100,4)</f>
        <v>1.5699999999999999E-2</v>
      </c>
      <c r="AF17" s="2635">
        <f t="shared" si="1"/>
        <v>1.5699999999999999E-2</v>
      </c>
      <c r="AG17" s="2635">
        <f>ROUND(AVERAGE(K17:K$29)/100,4)</f>
        <v>2.6599999999999999E-2</v>
      </c>
      <c r="AH17" s="2635">
        <f>ROUND(AVERAGE(L17:L$29)/100,4)</f>
        <v>1.34E-2</v>
      </c>
    </row>
    <row r="18" spans="1:34">
      <c r="A18" s="2617" t="s">
        <v>970</v>
      </c>
      <c r="B18" s="2622">
        <v>392</v>
      </c>
      <c r="C18" s="2622">
        <v>302</v>
      </c>
      <c r="D18" s="2622">
        <f t="shared" si="87"/>
        <v>302</v>
      </c>
      <c r="E18" s="2622">
        <v>553</v>
      </c>
      <c r="F18" s="2623">
        <v>266</v>
      </c>
      <c r="G18" s="3581">
        <v>2016</v>
      </c>
      <c r="H18" s="2618">
        <v>4</v>
      </c>
      <c r="I18" s="2618">
        <v>4.5599999999999996</v>
      </c>
      <c r="J18" s="2618">
        <v>2.15</v>
      </c>
      <c r="K18" s="2618">
        <v>5.32</v>
      </c>
      <c r="L18" s="2619">
        <v>1.57</v>
      </c>
      <c r="N18" s="2625">
        <f t="shared" si="90"/>
        <v>4.5599999999999995E-2</v>
      </c>
      <c r="O18" s="2626">
        <f t="shared" ref="O18:Q33" si="107">J18/100</f>
        <v>2.1499999999999998E-2</v>
      </c>
      <c r="P18" s="2626">
        <f t="shared" si="107"/>
        <v>5.3200000000000004E-2</v>
      </c>
      <c r="Q18" s="2626">
        <f t="shared" si="107"/>
        <v>1.5700000000000002E-2</v>
      </c>
      <c r="R18" s="2627"/>
      <c r="S18" s="2628"/>
      <c r="T18" s="2629"/>
      <c r="U18" s="2629"/>
      <c r="V18" s="2629"/>
      <c r="X18" s="2715">
        <f>ROUND(SUMPRODUCT(PRODUCT(1+N18:N$28)),4)</f>
        <v>1.274</v>
      </c>
      <c r="Y18" s="2715">
        <f>ROUND(SUMPRODUCT(PRODUCT(1+O18:O$28)),4)</f>
        <v>1.1740999999999999</v>
      </c>
      <c r="Z18" s="2715">
        <f t="shared" si="0"/>
        <v>1.1740999999999999</v>
      </c>
      <c r="AA18" s="2715">
        <f>ROUND(SUMPRODUCT(PRODUCT(1+P18:P$28)),4)</f>
        <v>1.3087</v>
      </c>
      <c r="AB18" s="2715">
        <f>ROUND(SUMPRODUCT(PRODUCT(1+Q18:Q$28)),4)</f>
        <v>1.1551</v>
      </c>
      <c r="AD18" s="2635">
        <f>ROUND(AVERAGE(I18:I$29)/100,4)</f>
        <v>2.3E-2</v>
      </c>
      <c r="AE18" s="2635">
        <f>ROUND(AVERAGE(J18:J$29)/100,4)</f>
        <v>1.55E-2</v>
      </c>
      <c r="AF18" s="2635">
        <f t="shared" si="1"/>
        <v>1.55E-2</v>
      </c>
      <c r="AG18" s="2635">
        <f>ROUND(AVERAGE(K18:K$29)/100,4)</f>
        <v>2.5600000000000001E-2</v>
      </c>
      <c r="AH18" s="2635">
        <f>ROUND(AVERAGE(L18:L$29)/100,4)</f>
        <v>1.32E-2</v>
      </c>
    </row>
    <row r="19" spans="1:34">
      <c r="A19" s="2617" t="s">
        <v>969</v>
      </c>
      <c r="B19" s="2630">
        <f t="shared" ref="B19:C21" si="108">B18/(1+N18)</f>
        <v>374.90436113236416</v>
      </c>
      <c r="C19" s="2630">
        <f t="shared" si="108"/>
        <v>295.64366128242779</v>
      </c>
      <c r="D19" s="2630">
        <f t="shared" ref="D19:D78" si="109">C19</f>
        <v>295.64366128242779</v>
      </c>
      <c r="E19" s="2630">
        <f t="shared" ref="E19:F21" si="110">E18/(1+P18)</f>
        <v>525.06646410938095</v>
      </c>
      <c r="F19" s="2630">
        <f t="shared" si="110"/>
        <v>261.88835286009646</v>
      </c>
      <c r="G19" s="3576"/>
      <c r="H19" s="2620">
        <v>3</v>
      </c>
      <c r="I19" s="2620">
        <v>4.12</v>
      </c>
      <c r="J19" s="2620">
        <v>2</v>
      </c>
      <c r="K19" s="2620">
        <v>4.79</v>
      </c>
      <c r="L19" s="2631">
        <v>1.97</v>
      </c>
      <c r="N19" s="2625">
        <f t="shared" ref="N19:Q53" si="111">I19/100</f>
        <v>4.1200000000000001E-2</v>
      </c>
      <c r="O19" s="2626">
        <f t="shared" si="107"/>
        <v>0.02</v>
      </c>
      <c r="P19" s="2626">
        <f t="shared" si="107"/>
        <v>4.7899999999999998E-2</v>
      </c>
      <c r="Q19" s="2626">
        <f t="shared" si="107"/>
        <v>1.9699999999999999E-2</v>
      </c>
      <c r="R19" s="2627"/>
      <c r="S19" s="2625"/>
      <c r="T19" s="2626"/>
      <c r="U19" s="2626"/>
      <c r="V19" s="2626"/>
      <c r="X19" s="2715">
        <f>ROUND(SUMPRODUCT(PRODUCT(1+N19:N$28)),4)</f>
        <v>1.2184999999999999</v>
      </c>
      <c r="Y19" s="2715">
        <f>ROUND(SUMPRODUCT(PRODUCT(1+O19:O$28)),4)</f>
        <v>1.1494</v>
      </c>
      <c r="Z19" s="2715">
        <f t="shared" si="0"/>
        <v>1.1494</v>
      </c>
      <c r="AA19" s="2715">
        <f>ROUND(SUMPRODUCT(PRODUCT(1+P19:P$28)),4)</f>
        <v>1.2425999999999999</v>
      </c>
      <c r="AB19" s="2715">
        <f>ROUND(SUMPRODUCT(PRODUCT(1+Q19:Q$28)),4)</f>
        <v>1.1372</v>
      </c>
      <c r="AD19" s="2635">
        <f>ROUND(AVERAGE(I19:I$29)/100,4)</f>
        <v>2.0899999999999998E-2</v>
      </c>
      <c r="AE19" s="2635">
        <f>ROUND(AVERAGE(J19:J$29)/100,4)</f>
        <v>1.49E-2</v>
      </c>
      <c r="AF19" s="2635">
        <f t="shared" si="1"/>
        <v>1.49E-2</v>
      </c>
      <c r="AG19" s="2635">
        <f>ROUND(AVERAGE(K19:K$29)/100,4)</f>
        <v>2.3099999999999999E-2</v>
      </c>
      <c r="AH19" s="2635">
        <f>ROUND(AVERAGE(L19:L$29)/100,4)</f>
        <v>1.2999999999999999E-2</v>
      </c>
    </row>
    <row r="20" spans="1:34">
      <c r="A20" s="2617" t="s">
        <v>959</v>
      </c>
      <c r="B20" s="2630">
        <f t="shared" si="108"/>
        <v>360.06949782209392</v>
      </c>
      <c r="C20" s="2630">
        <f t="shared" si="108"/>
        <v>289.84672674747821</v>
      </c>
      <c r="D20" s="2630">
        <f t="shared" si="109"/>
        <v>289.84672674747821</v>
      </c>
      <c r="E20" s="2630">
        <f t="shared" si="110"/>
        <v>501.06543001181495</v>
      </c>
      <c r="F20" s="2630">
        <f t="shared" si="110"/>
        <v>256.82882500744967</v>
      </c>
      <c r="G20" s="3576"/>
      <c r="H20" s="2621">
        <v>2</v>
      </c>
      <c r="I20" s="2621">
        <v>3.85</v>
      </c>
      <c r="J20" s="2621">
        <v>1.95</v>
      </c>
      <c r="K20" s="2621">
        <v>4.4800000000000004</v>
      </c>
      <c r="L20" s="2632">
        <v>1.41</v>
      </c>
      <c r="N20" s="2625">
        <f t="shared" si="111"/>
        <v>3.85E-2</v>
      </c>
      <c r="O20" s="2626">
        <f t="shared" si="107"/>
        <v>1.95E-2</v>
      </c>
      <c r="P20" s="2626">
        <f t="shared" si="107"/>
        <v>4.4800000000000006E-2</v>
      </c>
      <c r="Q20" s="2626">
        <f t="shared" si="107"/>
        <v>1.41E-2</v>
      </c>
      <c r="R20" s="2627"/>
      <c r="S20" s="2625"/>
      <c r="T20" s="2626"/>
      <c r="U20" s="2626"/>
      <c r="V20" s="2626"/>
      <c r="X20" s="2715">
        <f>ROUND(SUMPRODUCT(PRODUCT(1+N20:N$28)),4)</f>
        <v>1.1702999999999999</v>
      </c>
      <c r="Y20" s="2715">
        <f>ROUND(SUMPRODUCT(PRODUCT(1+O20:O$28)),4)</f>
        <v>1.1269</v>
      </c>
      <c r="Z20" s="2715">
        <f t="shared" si="0"/>
        <v>1.1269</v>
      </c>
      <c r="AA20" s="2715">
        <f>ROUND(SUMPRODUCT(PRODUCT(1+P20:P$28)),4)</f>
        <v>1.1858</v>
      </c>
      <c r="AB20" s="2715">
        <f>ROUND(SUMPRODUCT(PRODUCT(1+Q20:Q$28)),4)</f>
        <v>1.1152</v>
      </c>
      <c r="AD20" s="2635">
        <f>ROUND(AVERAGE(I20:I$29)/100,4)</f>
        <v>1.89E-2</v>
      </c>
      <c r="AE20" s="2635">
        <f>ROUND(AVERAGE(J20:J$29)/100,4)</f>
        <v>1.44E-2</v>
      </c>
      <c r="AF20" s="2635">
        <f t="shared" si="1"/>
        <v>1.44E-2</v>
      </c>
      <c r="AG20" s="2635">
        <f>ROUND(AVERAGE(K20:K$29)/100,4)</f>
        <v>2.06E-2</v>
      </c>
      <c r="AH20" s="2635">
        <f>ROUND(AVERAGE(L20:L$29)/100,4)</f>
        <v>1.23E-2</v>
      </c>
    </row>
    <row r="21" spans="1:34" ht="13.8" thickBot="1">
      <c r="A21" s="2617" t="s">
        <v>968</v>
      </c>
      <c r="B21" s="2630">
        <f t="shared" si="108"/>
        <v>346.720748986128</v>
      </c>
      <c r="C21" s="2630">
        <f t="shared" si="108"/>
        <v>284.30282172386285</v>
      </c>
      <c r="D21" s="2630">
        <f t="shared" si="109"/>
        <v>284.30282172386285</v>
      </c>
      <c r="E21" s="2630">
        <f t="shared" si="110"/>
        <v>479.58023546306947</v>
      </c>
      <c r="F21" s="2630">
        <f t="shared" si="110"/>
        <v>253.25788877571213</v>
      </c>
      <c r="G21" s="3577"/>
      <c r="H21" s="2620">
        <v>1</v>
      </c>
      <c r="I21" s="2620">
        <v>4.09</v>
      </c>
      <c r="J21" s="2620">
        <v>2.93</v>
      </c>
      <c r="K21" s="2620">
        <v>4.54</v>
      </c>
      <c r="L21" s="2631">
        <v>1.48</v>
      </c>
      <c r="N21" s="2625">
        <f t="shared" si="111"/>
        <v>4.0899999999999999E-2</v>
      </c>
      <c r="O21" s="2626">
        <f t="shared" si="107"/>
        <v>2.9300000000000003E-2</v>
      </c>
      <c r="P21" s="2626">
        <f t="shared" si="107"/>
        <v>4.5400000000000003E-2</v>
      </c>
      <c r="Q21" s="2626">
        <f t="shared" si="107"/>
        <v>1.4800000000000001E-2</v>
      </c>
      <c r="R21" s="2627"/>
      <c r="S21" s="2633">
        <f>B21/B22-1</f>
        <v>4.1203450408792808E-2</v>
      </c>
      <c r="T21" s="2634">
        <f>C21/C22-1</f>
        <v>2.6363977342465095E-2</v>
      </c>
      <c r="U21" s="2634">
        <f>E21/E22-1</f>
        <v>4.4837114298626357E-2</v>
      </c>
      <c r="V21" s="2634">
        <f>F21/F22-1</f>
        <v>1.7099954922538574E-2</v>
      </c>
      <c r="X21" s="2715">
        <f>ROUND(SUMPRODUCT(PRODUCT(1+N21:N$28)),4)</f>
        <v>1.1269</v>
      </c>
      <c r="Y21" s="2715">
        <f>ROUND(SUMPRODUCT(PRODUCT(1+O21:O$28)),4)</f>
        <v>1.1052999999999999</v>
      </c>
      <c r="Z21" s="2715">
        <f t="shared" si="0"/>
        <v>1.1052999999999999</v>
      </c>
      <c r="AA21" s="2715">
        <f>ROUND(SUMPRODUCT(PRODUCT(1+P21:P$28)),4)</f>
        <v>1.1349</v>
      </c>
      <c r="AB21" s="2715">
        <f>ROUND(SUMPRODUCT(PRODUCT(1+Q21:Q$28)),4)</f>
        <v>1.0996999999999999</v>
      </c>
      <c r="AD21" s="2635">
        <f>ROUND(AVERAGE(I21:I$29)/100,4)</f>
        <v>1.67E-2</v>
      </c>
      <c r="AE21" s="2635">
        <f>ROUND(AVERAGE(J21:J$29)/100,4)</f>
        <v>1.38E-2</v>
      </c>
      <c r="AF21" s="2635">
        <f t="shared" si="1"/>
        <v>1.38E-2</v>
      </c>
      <c r="AG21" s="2635">
        <f>ROUND(AVERAGE(K21:K$29)/100,4)</f>
        <v>1.7899999999999999E-2</v>
      </c>
      <c r="AH21" s="2635">
        <f>ROUND(AVERAGE(L21:L$29)/100,4)</f>
        <v>1.21E-2</v>
      </c>
    </row>
    <row r="22" spans="1:34" ht="13.8" thickBot="1">
      <c r="A22" s="2617" t="s">
        <v>967</v>
      </c>
      <c r="B22" s="2622">
        <v>333</v>
      </c>
      <c r="C22" s="2622">
        <v>277</v>
      </c>
      <c r="D22" s="2622">
        <f t="shared" si="109"/>
        <v>277</v>
      </c>
      <c r="E22" s="2622">
        <v>459</v>
      </c>
      <c r="F22" s="2623">
        <v>249</v>
      </c>
      <c r="G22" s="3575">
        <v>2015</v>
      </c>
      <c r="H22" s="2636">
        <v>4</v>
      </c>
      <c r="I22" s="2636">
        <v>1.63</v>
      </c>
      <c r="J22" s="2636">
        <v>1.1100000000000001</v>
      </c>
      <c r="K22" s="2636">
        <v>1.77</v>
      </c>
      <c r="L22" s="2637">
        <v>1.89</v>
      </c>
      <c r="N22" s="2638">
        <f t="shared" si="111"/>
        <v>1.6299999999999999E-2</v>
      </c>
      <c r="O22" s="2639">
        <f t="shared" si="107"/>
        <v>1.11E-2</v>
      </c>
      <c r="P22" s="2639">
        <f t="shared" si="107"/>
        <v>1.77E-2</v>
      </c>
      <c r="Q22" s="2639">
        <f t="shared" si="107"/>
        <v>1.89E-2</v>
      </c>
      <c r="R22" s="2627"/>
      <c r="X22" s="2715">
        <f>ROUND(SUMPRODUCT(PRODUCT(1+N22:N$28)),4)</f>
        <v>1.0826</v>
      </c>
      <c r="Y22" s="2715">
        <f>ROUND(SUMPRODUCT(PRODUCT(1+O22:O$28)),4)</f>
        <v>1.0738000000000001</v>
      </c>
      <c r="Z22" s="2715">
        <f t="shared" si="0"/>
        <v>1.0738000000000001</v>
      </c>
      <c r="AA22" s="2715">
        <f>ROUND(SUMPRODUCT(PRODUCT(1+P22:P$28)),4)</f>
        <v>1.0855999999999999</v>
      </c>
      <c r="AB22" s="2715">
        <f>ROUND(SUMPRODUCT(PRODUCT(1+Q22:Q$28)),4)</f>
        <v>1.0837000000000001</v>
      </c>
      <c r="AD22" s="2635">
        <f>ROUND(AVERAGE(I22:I$29)/100,4)</f>
        <v>1.37E-2</v>
      </c>
      <c r="AE22" s="2635">
        <f>ROUND(AVERAGE(J22:J$29)/100,4)</f>
        <v>1.1900000000000001E-2</v>
      </c>
      <c r="AF22" s="2635">
        <f t="shared" si="1"/>
        <v>1.1900000000000001E-2</v>
      </c>
      <c r="AG22" s="2635">
        <f>ROUND(AVERAGE(K22:K$29)/100,4)</f>
        <v>1.4500000000000001E-2</v>
      </c>
      <c r="AH22" s="2635">
        <f>ROUND(AVERAGE(L22:L$29)/100,4)</f>
        <v>1.18E-2</v>
      </c>
    </row>
    <row r="23" spans="1:34">
      <c r="A23" s="2617" t="s">
        <v>966</v>
      </c>
      <c r="B23" s="2630">
        <f t="shared" ref="B23:C25" si="112">B22/(1+N22)</f>
        <v>327.65915576109415</v>
      </c>
      <c r="C23" s="2630">
        <f t="shared" si="112"/>
        <v>273.95905449510434</v>
      </c>
      <c r="D23" s="2630">
        <f t="shared" si="109"/>
        <v>273.95905449510434</v>
      </c>
      <c r="E23" s="2630">
        <f t="shared" ref="E23:F25" si="113">E22/(1+P22)</f>
        <v>451.01699911565294</v>
      </c>
      <c r="F23" s="2630">
        <f t="shared" si="113"/>
        <v>244.38119540681129</v>
      </c>
      <c r="G23" s="3576"/>
      <c r="H23" s="2641">
        <v>3</v>
      </c>
      <c r="I23" s="2641">
        <v>1.65</v>
      </c>
      <c r="J23" s="2641">
        <v>0.92</v>
      </c>
      <c r="K23" s="2641">
        <v>1.88</v>
      </c>
      <c r="L23" s="2642">
        <v>1.26</v>
      </c>
      <c r="N23" s="2625">
        <f t="shared" si="111"/>
        <v>1.6500000000000001E-2</v>
      </c>
      <c r="O23" s="2643">
        <f t="shared" si="107"/>
        <v>9.1999999999999998E-3</v>
      </c>
      <c r="P23" s="2643">
        <f t="shared" si="107"/>
        <v>1.8799999999999997E-2</v>
      </c>
      <c r="Q23" s="2643">
        <f t="shared" si="107"/>
        <v>1.26E-2</v>
      </c>
      <c r="R23" s="2627"/>
      <c r="S23" s="2625"/>
      <c r="T23" s="2626"/>
      <c r="U23" s="2626"/>
      <c r="V23" s="2626"/>
      <c r="X23" s="2715">
        <f>ROUND(SUMPRODUCT(PRODUCT(1+N23:N$28)),4)</f>
        <v>1.0651999999999999</v>
      </c>
      <c r="Y23" s="2715">
        <f>ROUND(SUMPRODUCT(PRODUCT(1+O23:O$28)),4)</f>
        <v>1.0621</v>
      </c>
      <c r="Z23" s="2715">
        <f t="shared" si="0"/>
        <v>1.0621</v>
      </c>
      <c r="AA23" s="2715">
        <f>ROUND(SUMPRODUCT(PRODUCT(1+P23:P$28)),4)</f>
        <v>1.0668</v>
      </c>
      <c r="AB23" s="2715">
        <f>ROUND(SUMPRODUCT(PRODUCT(1+Q23:Q$28)),4)</f>
        <v>1.0636000000000001</v>
      </c>
      <c r="AD23" s="2635">
        <f>ROUND(AVERAGE(I23:I$29)/100,4)</f>
        <v>1.3299999999999999E-2</v>
      </c>
      <c r="AE23" s="2635">
        <f>ROUND(AVERAGE(J23:J$29)/100,4)</f>
        <v>1.2E-2</v>
      </c>
      <c r="AF23" s="2635">
        <f t="shared" si="1"/>
        <v>1.2E-2</v>
      </c>
      <c r="AG23" s="2635">
        <f>ROUND(AVERAGE(K23:K$29)/100,4)</f>
        <v>1.4E-2</v>
      </c>
      <c r="AH23" s="2635">
        <f>ROUND(AVERAGE(L23:L$29)/100,4)</f>
        <v>1.0800000000000001E-2</v>
      </c>
    </row>
    <row r="24" spans="1:34">
      <c r="A24" s="2617" t="s">
        <v>965</v>
      </c>
      <c r="B24" s="2630">
        <f t="shared" si="112"/>
        <v>322.34053690220776</v>
      </c>
      <c r="C24" s="2630">
        <f t="shared" si="112"/>
        <v>271.46160770422546</v>
      </c>
      <c r="D24" s="2630">
        <f t="shared" si="109"/>
        <v>271.46160770422546</v>
      </c>
      <c r="E24" s="2630">
        <f t="shared" si="113"/>
        <v>442.69434542172456</v>
      </c>
      <c r="F24" s="2630">
        <f t="shared" si="113"/>
        <v>241.34030753190925</v>
      </c>
      <c r="G24" s="3576"/>
      <c r="H24" s="2621">
        <v>2</v>
      </c>
      <c r="I24" s="2621">
        <v>0.77</v>
      </c>
      <c r="J24" s="2621">
        <v>0.69</v>
      </c>
      <c r="K24" s="2621">
        <v>0.8</v>
      </c>
      <c r="L24" s="2632">
        <v>0.88</v>
      </c>
      <c r="N24" s="2625">
        <f t="shared" si="111"/>
        <v>7.7000000000000002E-3</v>
      </c>
      <c r="O24" s="2643">
        <f t="shared" si="107"/>
        <v>6.8999999999999999E-3</v>
      </c>
      <c r="P24" s="2643">
        <f t="shared" si="107"/>
        <v>8.0000000000000002E-3</v>
      </c>
      <c r="Q24" s="2643">
        <f t="shared" si="107"/>
        <v>8.8000000000000005E-3</v>
      </c>
      <c r="R24" s="2627"/>
      <c r="S24" s="2625"/>
      <c r="T24" s="2626"/>
      <c r="U24" s="2626"/>
      <c r="V24" s="2626"/>
      <c r="X24" s="2715">
        <f>ROUND(SUMPRODUCT(PRODUCT(1+N24:N$28)),4)</f>
        <v>1.048</v>
      </c>
      <c r="Y24" s="2715">
        <f>ROUND(SUMPRODUCT(PRODUCT(1+O24:O$28)),4)</f>
        <v>1.0524</v>
      </c>
      <c r="Z24" s="2715">
        <f t="shared" si="0"/>
        <v>1.0524</v>
      </c>
      <c r="AA24" s="2715">
        <f>ROUND(SUMPRODUCT(PRODUCT(1+P24:P$28)),4)</f>
        <v>1.0470999999999999</v>
      </c>
      <c r="AB24" s="2715">
        <f>ROUND(SUMPRODUCT(PRODUCT(1+Q24:Q$28)),4)</f>
        <v>1.0504</v>
      </c>
      <c r="AD24" s="2635">
        <f>ROUND(AVERAGE(I24:I$29)/100,4)</f>
        <v>1.2800000000000001E-2</v>
      </c>
      <c r="AE24" s="2635">
        <f>ROUND(AVERAGE(J24:J$29)/100,4)</f>
        <v>1.2500000000000001E-2</v>
      </c>
      <c r="AF24" s="2635">
        <f t="shared" si="1"/>
        <v>1.2500000000000001E-2</v>
      </c>
      <c r="AG24" s="2635">
        <f>ROUND(AVERAGE(K24:K$29)/100,4)</f>
        <v>1.32E-2</v>
      </c>
      <c r="AH24" s="2635">
        <f>ROUND(AVERAGE(L24:L$29)/100,4)</f>
        <v>1.0500000000000001E-2</v>
      </c>
    </row>
    <row r="25" spans="1:34">
      <c r="A25" s="2617" t="s">
        <v>964</v>
      </c>
      <c r="B25" s="2630">
        <f t="shared" si="112"/>
        <v>319.87748030386797</v>
      </c>
      <c r="C25" s="2630">
        <f t="shared" si="112"/>
        <v>269.60135833173649</v>
      </c>
      <c r="D25" s="2630">
        <f t="shared" si="109"/>
        <v>269.60135833173649</v>
      </c>
      <c r="E25" s="2630">
        <f t="shared" si="113"/>
        <v>439.18089823583784</v>
      </c>
      <c r="F25" s="2630">
        <f t="shared" si="113"/>
        <v>239.23503918706311</v>
      </c>
      <c r="G25" s="3577"/>
      <c r="H25" s="2620">
        <v>1</v>
      </c>
      <c r="I25" s="2620">
        <v>0.51</v>
      </c>
      <c r="J25" s="2620">
        <v>0.54</v>
      </c>
      <c r="K25" s="2620">
        <v>0.48</v>
      </c>
      <c r="L25" s="2631">
        <v>0.93</v>
      </c>
      <c r="N25" s="2633">
        <f t="shared" si="111"/>
        <v>5.1000000000000004E-3</v>
      </c>
      <c r="O25" s="2634">
        <f t="shared" si="107"/>
        <v>5.4000000000000003E-3</v>
      </c>
      <c r="P25" s="2634">
        <f t="shared" si="107"/>
        <v>4.7999999999999996E-3</v>
      </c>
      <c r="Q25" s="2634">
        <f t="shared" si="107"/>
        <v>9.300000000000001E-3</v>
      </c>
      <c r="R25" s="2627"/>
      <c r="S25" s="2633">
        <f>B25/B26-1</f>
        <v>5.9040261127922822E-3</v>
      </c>
      <c r="T25" s="2634">
        <f>C25/C26-1</f>
        <v>5.9752176557332781E-3</v>
      </c>
      <c r="U25" s="2634">
        <f>E25/E26-1</f>
        <v>4.9906138119859556E-3</v>
      </c>
      <c r="V25" s="2634">
        <f>F25/F26-1</f>
        <v>9.4305450930933787E-3</v>
      </c>
      <c r="X25" s="2715">
        <f>ROUND(SUMPRODUCT(PRODUCT(1+N25:N$28)),4)</f>
        <v>1.0399</v>
      </c>
      <c r="Y25" s="2715">
        <f>ROUND(SUMPRODUCT(PRODUCT(1+O25:O$28)),4)</f>
        <v>1.0451999999999999</v>
      </c>
      <c r="Z25" s="2715">
        <f t="shared" si="0"/>
        <v>1.0451999999999999</v>
      </c>
      <c r="AA25" s="2715">
        <f>ROUND(SUMPRODUCT(PRODUCT(1+P25:P$28)),4)</f>
        <v>1.0387999999999999</v>
      </c>
      <c r="AB25" s="2715">
        <f>ROUND(SUMPRODUCT(PRODUCT(1+Q25:Q$28)),4)</f>
        <v>1.0411999999999999</v>
      </c>
      <c r="AD25" s="2635">
        <f>ROUND(AVERAGE(I25:I$29)/100,4)</f>
        <v>1.38E-2</v>
      </c>
      <c r="AE25" s="2635">
        <f>ROUND(AVERAGE(J25:J$29)/100,4)</f>
        <v>1.3599999999999999E-2</v>
      </c>
      <c r="AF25" s="2635">
        <f t="shared" si="1"/>
        <v>1.3599999999999999E-2</v>
      </c>
      <c r="AG25" s="2635">
        <f>ROUND(AVERAGE(K25:K$29)/100,4)</f>
        <v>1.4200000000000001E-2</v>
      </c>
      <c r="AH25" s="2635">
        <f>ROUND(AVERAGE(L25:L$29)/100,4)</f>
        <v>1.0800000000000001E-2</v>
      </c>
    </row>
    <row r="26" spans="1:34" ht="13.8" thickBot="1">
      <c r="A26" s="2617" t="s">
        <v>963</v>
      </c>
      <c r="B26" s="2644">
        <v>318</v>
      </c>
      <c r="C26" s="2644">
        <v>268</v>
      </c>
      <c r="D26" s="2644">
        <f t="shared" si="109"/>
        <v>268</v>
      </c>
      <c r="E26" s="2644">
        <v>437</v>
      </c>
      <c r="F26" s="2645">
        <v>237</v>
      </c>
      <c r="G26" s="3575">
        <v>2014</v>
      </c>
      <c r="H26" s="2636">
        <v>4</v>
      </c>
      <c r="I26" s="2636">
        <v>0.21</v>
      </c>
      <c r="J26" s="2636">
        <v>0.41</v>
      </c>
      <c r="K26" s="2636">
        <v>0.12</v>
      </c>
      <c r="L26" s="2637">
        <v>0.89</v>
      </c>
      <c r="N26" s="2625">
        <f t="shared" si="111"/>
        <v>2.0999999999999999E-3</v>
      </c>
      <c r="O26" s="2626">
        <f t="shared" si="107"/>
        <v>4.0999999999999995E-3</v>
      </c>
      <c r="P26" s="2626">
        <f t="shared" si="107"/>
        <v>1.1999999999999999E-3</v>
      </c>
      <c r="Q26" s="2626">
        <f t="shared" si="107"/>
        <v>8.8999999999999999E-3</v>
      </c>
      <c r="R26" s="2627"/>
      <c r="S26" s="2628"/>
      <c r="T26" s="2629"/>
      <c r="U26" s="2629"/>
      <c r="V26" s="2629"/>
      <c r="X26" s="2715">
        <f>ROUND(SUMPRODUCT(PRODUCT(1+N26:N$28)),4)</f>
        <v>1.0347</v>
      </c>
      <c r="Y26" s="2715">
        <f>ROUND(SUMPRODUCT(PRODUCT(1+O26:O$28)),4)</f>
        <v>1.0395000000000001</v>
      </c>
      <c r="Z26" s="2715">
        <f t="shared" si="0"/>
        <v>1.0395000000000001</v>
      </c>
      <c r="AA26" s="2715">
        <f>ROUND(SUMPRODUCT(PRODUCT(1+P26:P$28)),4)</f>
        <v>1.0338000000000001</v>
      </c>
      <c r="AB26" s="2715">
        <f>ROUND(SUMPRODUCT(PRODUCT(1+Q26:Q$28)),4)</f>
        <v>1.0316000000000001</v>
      </c>
      <c r="AD26" s="2635">
        <f>ROUND(AVERAGE(I26:I$29)/100,4)</f>
        <v>1.6E-2</v>
      </c>
      <c r="AE26" s="2635">
        <f>ROUND(AVERAGE(J26:J$29)/100,4)</f>
        <v>1.5599999999999999E-2</v>
      </c>
      <c r="AF26" s="2635">
        <f t="shared" si="1"/>
        <v>1.5599999999999999E-2</v>
      </c>
      <c r="AG26" s="2635">
        <f>ROUND(AVERAGE(K26:K$29)/100,4)</f>
        <v>1.66E-2</v>
      </c>
      <c r="AH26" s="2635">
        <f>ROUND(AVERAGE(L26:L$29)/100,4)</f>
        <v>1.12E-2</v>
      </c>
    </row>
    <row r="27" spans="1:34">
      <c r="A27" s="2617" t="s">
        <v>962</v>
      </c>
      <c r="B27" s="2630">
        <f t="shared" ref="B27:C29" si="114">B26/(1+N26)</f>
        <v>317.33359944117353</v>
      </c>
      <c r="C27" s="2630">
        <f t="shared" si="114"/>
        <v>266.90568668459315</v>
      </c>
      <c r="D27" s="2630">
        <f t="shared" si="109"/>
        <v>266.90568668459315</v>
      </c>
      <c r="E27" s="2630">
        <f t="shared" ref="E27:F29" si="115">E26/(1+P26)</f>
        <v>436.47622852576905</v>
      </c>
      <c r="F27" s="2630">
        <f t="shared" si="115"/>
        <v>234.90930716622066</v>
      </c>
      <c r="G27" s="3576"/>
      <c r="H27" s="2646">
        <v>3</v>
      </c>
      <c r="I27" s="2646">
        <v>0.83</v>
      </c>
      <c r="J27" s="2646">
        <v>1.47</v>
      </c>
      <c r="K27" s="2646">
        <v>0.65</v>
      </c>
      <c r="L27" s="2647">
        <v>0.72</v>
      </c>
      <c r="N27" s="2625">
        <f t="shared" si="111"/>
        <v>8.3000000000000001E-3</v>
      </c>
      <c r="O27" s="2626">
        <f t="shared" si="107"/>
        <v>1.47E-2</v>
      </c>
      <c r="P27" s="2626">
        <f t="shared" si="107"/>
        <v>6.5000000000000006E-3</v>
      </c>
      <c r="Q27" s="2626">
        <f t="shared" si="107"/>
        <v>7.1999999999999998E-3</v>
      </c>
      <c r="R27" s="2627"/>
      <c r="S27" s="2625"/>
      <c r="T27" s="2626"/>
      <c r="U27" s="2626"/>
      <c r="V27" s="2626"/>
      <c r="X27" s="2715">
        <f>ROUND(SUMPRODUCT(PRODUCT(1+N27:N$28)),4)</f>
        <v>1.0325</v>
      </c>
      <c r="Y27" s="2715">
        <f>ROUND(SUMPRODUCT(PRODUCT(1+O27:O$28)),4)</f>
        <v>1.0353000000000001</v>
      </c>
      <c r="Z27" s="2715">
        <f t="shared" ref="Z27:Z28" si="116">Y27</f>
        <v>1.0353000000000001</v>
      </c>
      <c r="AA27" s="2715">
        <f>ROUND(SUMPRODUCT(PRODUCT(1+P27:P$28)),4)</f>
        <v>1.0326</v>
      </c>
      <c r="AB27" s="2715">
        <f>ROUND(SUMPRODUCT(PRODUCT(1+Q27:Q$28)),4)</f>
        <v>1.0225</v>
      </c>
      <c r="AD27" s="2635">
        <f>ROUND(AVERAGE(I27:I$29)/100,4)</f>
        <v>2.07E-2</v>
      </c>
      <c r="AE27" s="2635">
        <f>ROUND(AVERAGE(J27:J$29)/100,4)</f>
        <v>1.95E-2</v>
      </c>
      <c r="AF27" s="2635">
        <f t="shared" si="1"/>
        <v>1.95E-2</v>
      </c>
      <c r="AG27" s="2635">
        <f>ROUND(AVERAGE(K27:K$29)/100,4)</f>
        <v>2.1700000000000001E-2</v>
      </c>
      <c r="AH27" s="2635">
        <f>ROUND(AVERAGE(L27:L$29)/100,4)</f>
        <v>1.2E-2</v>
      </c>
    </row>
    <row r="28" spans="1:34" ht="13.8" thickBot="1">
      <c r="A28" s="2617" t="s">
        <v>961</v>
      </c>
      <c r="B28" s="2630">
        <f t="shared" si="114"/>
        <v>314.72141172386546</v>
      </c>
      <c r="C28" s="2630">
        <f t="shared" si="114"/>
        <v>263.03901319069001</v>
      </c>
      <c r="D28" s="2630">
        <f t="shared" si="109"/>
        <v>263.03901319069001</v>
      </c>
      <c r="E28" s="2630">
        <f t="shared" si="115"/>
        <v>433.65745506782821</v>
      </c>
      <c r="F28" s="2630">
        <f t="shared" si="115"/>
        <v>233.23005080045735</v>
      </c>
      <c r="G28" s="3576"/>
      <c r="H28" s="2636">
        <v>2</v>
      </c>
      <c r="I28" s="2636">
        <v>2.4</v>
      </c>
      <c r="J28" s="2636">
        <v>2.0299999999999998</v>
      </c>
      <c r="K28" s="2636">
        <v>2.59</v>
      </c>
      <c r="L28" s="2637">
        <v>1.52</v>
      </c>
      <c r="N28" s="2625">
        <f t="shared" si="111"/>
        <v>2.4E-2</v>
      </c>
      <c r="O28" s="2626">
        <f t="shared" si="107"/>
        <v>2.0299999999999999E-2</v>
      </c>
      <c r="P28" s="2626">
        <f t="shared" si="107"/>
        <v>2.5899999999999999E-2</v>
      </c>
      <c r="Q28" s="2626">
        <f t="shared" si="107"/>
        <v>1.52E-2</v>
      </c>
      <c r="R28" s="2627"/>
      <c r="S28" s="2625"/>
      <c r="T28" s="2626"/>
      <c r="U28" s="2626"/>
      <c r="V28" s="2626"/>
      <c r="X28" s="2715">
        <f>1+N28</f>
        <v>1.024</v>
      </c>
      <c r="Y28" s="2715">
        <f>1+O28</f>
        <v>1.0203</v>
      </c>
      <c r="Z28" s="2715">
        <f t="shared" si="116"/>
        <v>1.0203</v>
      </c>
      <c r="AA28" s="2715">
        <f>1+P28</f>
        <v>1.0259</v>
      </c>
      <c r="AB28" s="2715">
        <f>1+Q28</f>
        <v>1.0152000000000001</v>
      </c>
      <c r="AD28" s="2635">
        <f>ROUND(AVERAGE(I28:I$29)/100,4)</f>
        <v>2.69E-2</v>
      </c>
      <c r="AE28" s="2635">
        <f>ROUND(AVERAGE(J28:J$29)/100,4)</f>
        <v>2.1899999999999999E-2</v>
      </c>
      <c r="AF28" s="2635">
        <f t="shared" ref="AF28" si="117">AE28</f>
        <v>2.1899999999999999E-2</v>
      </c>
      <c r="AG28" s="2635">
        <f>ROUND(AVERAGE(K28:K$29)/100,4)</f>
        <v>2.9399999999999999E-2</v>
      </c>
      <c r="AH28" s="2635">
        <f>ROUND(AVERAGE(L28:L$29)/100,4)</f>
        <v>1.44E-2</v>
      </c>
    </row>
    <row r="29" spans="1:34" s="2652" customFormat="1" ht="13.8" thickBot="1">
      <c r="A29" s="2648" t="s">
        <v>960</v>
      </c>
      <c r="B29" s="2649">
        <f t="shared" si="114"/>
        <v>307.34512863658733</v>
      </c>
      <c r="C29" s="2649">
        <f t="shared" si="114"/>
        <v>257.80556031626975</v>
      </c>
      <c r="D29" s="2649">
        <f t="shared" si="109"/>
        <v>257.80556031626975</v>
      </c>
      <c r="E29" s="2649">
        <f t="shared" si="115"/>
        <v>422.70928459677179</v>
      </c>
      <c r="F29" s="2649">
        <f t="shared" si="115"/>
        <v>229.73803270336617</v>
      </c>
      <c r="G29" s="3577"/>
      <c r="H29" s="2650">
        <v>1</v>
      </c>
      <c r="I29" s="2650">
        <v>2.97</v>
      </c>
      <c r="J29" s="2650">
        <v>2.34</v>
      </c>
      <c r="K29" s="2650">
        <v>3.28</v>
      </c>
      <c r="L29" s="2651">
        <v>1.36</v>
      </c>
      <c r="N29" s="2653">
        <f t="shared" si="111"/>
        <v>2.9700000000000001E-2</v>
      </c>
      <c r="O29" s="2654">
        <f t="shared" si="107"/>
        <v>2.3399999999999997E-2</v>
      </c>
      <c r="P29" s="2654">
        <f t="shared" si="107"/>
        <v>3.2799999999999996E-2</v>
      </c>
      <c r="Q29" s="2654">
        <f t="shared" si="107"/>
        <v>1.3600000000000001E-2</v>
      </c>
      <c r="R29" s="2655"/>
      <c r="S29" s="2656">
        <f>B29/B30-1</f>
        <v>2.7910129219355539E-2</v>
      </c>
      <c r="T29" s="2657">
        <f>C29/C30-1</f>
        <v>2.3037937762975247E-2</v>
      </c>
      <c r="U29" s="2657">
        <f>E29/E30-1</f>
        <v>3.3519033243940788E-2</v>
      </c>
      <c r="V29" s="2657">
        <f>F29/F30-1</f>
        <v>1.2061818076502862E-2</v>
      </c>
      <c r="W29" s="2724" t="s">
        <v>2636</v>
      </c>
      <c r="X29" s="2726">
        <v>1</v>
      </c>
      <c r="Y29" s="2726">
        <v>1</v>
      </c>
      <c r="Z29" s="2726">
        <v>1</v>
      </c>
      <c r="AA29" s="2726">
        <v>1</v>
      </c>
      <c r="AB29" s="2726">
        <v>1</v>
      </c>
      <c r="AD29" s="2959">
        <f>I29/100</f>
        <v>2.9700000000000001E-2</v>
      </c>
      <c r="AE29" s="2959">
        <f>J29/100</f>
        <v>2.3399999999999997E-2</v>
      </c>
      <c r="AF29" s="2959">
        <f>AE29</f>
        <v>2.3399999999999997E-2</v>
      </c>
      <c r="AG29" s="2959">
        <f>K29/100</f>
        <v>3.2799999999999996E-2</v>
      </c>
      <c r="AH29" s="2959">
        <f>L29/100</f>
        <v>1.3600000000000001E-2</v>
      </c>
    </row>
    <row r="30" spans="1:34" ht="13.8" thickBot="1">
      <c r="A30" s="2617" t="s">
        <v>2579</v>
      </c>
      <c r="B30" s="2622">
        <v>299</v>
      </c>
      <c r="C30" s="2622">
        <v>252</v>
      </c>
      <c r="D30" s="2622">
        <f t="shared" si="109"/>
        <v>252</v>
      </c>
      <c r="E30" s="2622">
        <v>409</v>
      </c>
      <c r="F30" s="2623">
        <v>227</v>
      </c>
      <c r="G30" s="3578">
        <v>2013</v>
      </c>
      <c r="H30" s="2658">
        <v>4</v>
      </c>
      <c r="I30" s="2658">
        <v>1.83</v>
      </c>
      <c r="J30" s="2658">
        <v>1.68</v>
      </c>
      <c r="K30" s="2658">
        <v>1.97</v>
      </c>
      <c r="L30" s="2659">
        <v>0.87</v>
      </c>
      <c r="N30" s="2638">
        <f t="shared" si="111"/>
        <v>1.83E-2</v>
      </c>
      <c r="O30" s="2639">
        <f t="shared" si="107"/>
        <v>1.6799999999999999E-2</v>
      </c>
      <c r="P30" s="2639">
        <f t="shared" si="107"/>
        <v>1.9699999999999999E-2</v>
      </c>
      <c r="Q30" s="2639">
        <f t="shared" si="107"/>
        <v>8.6999999999999994E-3</v>
      </c>
      <c r="R30" s="2627"/>
      <c r="S30" s="2628"/>
      <c r="T30" s="2629"/>
      <c r="U30" s="2629"/>
      <c r="V30" s="2629"/>
      <c r="X30" s="2629"/>
      <c r="Y30" s="2629"/>
      <c r="Z30" s="2629"/>
    </row>
    <row r="31" spans="1:34">
      <c r="A31" s="2617" t="s">
        <v>2580</v>
      </c>
      <c r="B31" s="2630">
        <f t="shared" ref="B31:C33" si="118">B30/(1+N30)</f>
        <v>293.62663262299913</v>
      </c>
      <c r="C31" s="2630">
        <f t="shared" si="118"/>
        <v>247.83634933123525</v>
      </c>
      <c r="D31" s="2630">
        <f t="shared" si="109"/>
        <v>247.83634933123525</v>
      </c>
      <c r="E31" s="2630">
        <f t="shared" ref="E31:F33" si="119">E30/(1+P30)</f>
        <v>401.09836226341076</v>
      </c>
      <c r="F31" s="2630">
        <f t="shared" si="119"/>
        <v>225.04213343908003</v>
      </c>
      <c r="G31" s="3579"/>
      <c r="H31" s="2641">
        <v>3</v>
      </c>
      <c r="I31" s="2641">
        <v>1.86</v>
      </c>
      <c r="J31" s="2641">
        <v>1.72</v>
      </c>
      <c r="K31" s="2641">
        <v>1.98</v>
      </c>
      <c r="L31" s="2642">
        <v>0.88</v>
      </c>
      <c r="N31" s="2625">
        <f t="shared" si="111"/>
        <v>1.8600000000000002E-2</v>
      </c>
      <c r="O31" s="2643">
        <f t="shared" si="107"/>
        <v>1.72E-2</v>
      </c>
      <c r="P31" s="2643">
        <f t="shared" si="107"/>
        <v>1.9799999999999998E-2</v>
      </c>
      <c r="Q31" s="2643">
        <f t="shared" si="107"/>
        <v>8.8000000000000005E-3</v>
      </c>
      <c r="R31" s="2627"/>
      <c r="S31" s="2625"/>
      <c r="T31" s="2626"/>
      <c r="U31" s="2626"/>
      <c r="V31" s="2626"/>
    </row>
    <row r="32" spans="1:34">
      <c r="A32" s="2617" t="s">
        <v>2581</v>
      </c>
      <c r="B32" s="2630">
        <f t="shared" si="118"/>
        <v>288.2649053828776</v>
      </c>
      <c r="C32" s="2630">
        <f t="shared" si="118"/>
        <v>243.64564425013293</v>
      </c>
      <c r="D32" s="2630">
        <f t="shared" si="109"/>
        <v>243.64564425013293</v>
      </c>
      <c r="E32" s="2630">
        <f t="shared" si="119"/>
        <v>393.31080825986544</v>
      </c>
      <c r="F32" s="2630">
        <f t="shared" si="119"/>
        <v>223.07903790551154</v>
      </c>
      <c r="G32" s="3579"/>
      <c r="H32" s="2621">
        <v>2</v>
      </c>
      <c r="I32" s="2621">
        <v>2.04</v>
      </c>
      <c r="J32" s="2621">
        <v>2.33</v>
      </c>
      <c r="K32" s="2621">
        <v>2.0699999999999998</v>
      </c>
      <c r="L32" s="2632">
        <v>0.69</v>
      </c>
      <c r="N32" s="2625">
        <f t="shared" si="111"/>
        <v>2.0400000000000001E-2</v>
      </c>
      <c r="O32" s="2643">
        <f t="shared" si="107"/>
        <v>2.3300000000000001E-2</v>
      </c>
      <c r="P32" s="2643">
        <f t="shared" si="107"/>
        <v>2.07E-2</v>
      </c>
      <c r="Q32" s="2643">
        <f t="shared" si="107"/>
        <v>6.8999999999999999E-3</v>
      </c>
      <c r="R32" s="2627"/>
      <c r="S32" s="2625"/>
      <c r="T32" s="2626"/>
      <c r="U32" s="2626"/>
      <c r="V32" s="2626"/>
      <c r="X32" s="2727"/>
      <c r="Y32" s="2729"/>
    </row>
    <row r="33" spans="1:26">
      <c r="A33" s="2617" t="s">
        <v>2582</v>
      </c>
      <c r="B33" s="2630">
        <f t="shared" si="118"/>
        <v>282.50186729015837</v>
      </c>
      <c r="C33" s="2630">
        <f t="shared" si="118"/>
        <v>238.09796174155468</v>
      </c>
      <c r="D33" s="2630">
        <f t="shared" si="109"/>
        <v>238.09796174155468</v>
      </c>
      <c r="E33" s="2630">
        <f t="shared" si="119"/>
        <v>385.33438646014054</v>
      </c>
      <c r="F33" s="2630">
        <f t="shared" si="119"/>
        <v>221.55034055567739</v>
      </c>
      <c r="G33" s="3580"/>
      <c r="H33" s="2620">
        <v>1</v>
      </c>
      <c r="I33" s="2620">
        <v>1.67</v>
      </c>
      <c r="J33" s="2620">
        <v>1.31</v>
      </c>
      <c r="K33" s="2620">
        <v>1.85</v>
      </c>
      <c r="L33" s="2631">
        <v>0.96</v>
      </c>
      <c r="N33" s="2633">
        <f t="shared" si="111"/>
        <v>1.67E-2</v>
      </c>
      <c r="O33" s="2634">
        <f t="shared" si="107"/>
        <v>1.3100000000000001E-2</v>
      </c>
      <c r="P33" s="2634">
        <f t="shared" si="107"/>
        <v>1.8500000000000003E-2</v>
      </c>
      <c r="Q33" s="2634">
        <f t="shared" si="107"/>
        <v>9.5999999999999992E-3</v>
      </c>
      <c r="R33" s="2627"/>
      <c r="S33" s="2633">
        <f>B33/B34-1</f>
        <v>1.6193767230785472E-2</v>
      </c>
      <c r="T33" s="2634">
        <f>C33/C34-1</f>
        <v>1.7512657015190891E-2</v>
      </c>
      <c r="U33" s="2634">
        <f>E33/E34-1</f>
        <v>1.6713420739157048E-2</v>
      </c>
      <c r="V33" s="2634">
        <f>F33/F34-1</f>
        <v>7.0470025258062563E-3</v>
      </c>
      <c r="X33" s="2728"/>
      <c r="Y33" s="2635"/>
      <c r="Z33" s="2635"/>
    </row>
    <row r="34" spans="1:26" ht="13.8" thickBot="1">
      <c r="A34" s="2617" t="s">
        <v>2583</v>
      </c>
      <c r="B34" s="2660">
        <v>278</v>
      </c>
      <c r="C34" s="2660">
        <v>234</v>
      </c>
      <c r="D34" s="2660">
        <f t="shared" si="109"/>
        <v>234</v>
      </c>
      <c r="E34" s="2660">
        <v>379</v>
      </c>
      <c r="F34" s="2661">
        <v>220</v>
      </c>
      <c r="G34" s="3575">
        <v>2012</v>
      </c>
      <c r="H34" s="2636">
        <v>4</v>
      </c>
      <c r="I34" s="2636">
        <v>0.91</v>
      </c>
      <c r="J34" s="2636">
        <v>0.68</v>
      </c>
      <c r="K34" s="2636">
        <v>0.98</v>
      </c>
      <c r="L34" s="2637">
        <v>0.9</v>
      </c>
      <c r="N34" s="2625">
        <f t="shared" si="111"/>
        <v>9.1000000000000004E-3</v>
      </c>
      <c r="O34" s="2626">
        <f t="shared" si="111"/>
        <v>6.8000000000000005E-3</v>
      </c>
      <c r="P34" s="2626">
        <f t="shared" si="111"/>
        <v>9.7999999999999997E-3</v>
      </c>
      <c r="Q34" s="2626">
        <f t="shared" si="111"/>
        <v>9.0000000000000011E-3</v>
      </c>
      <c r="R34" s="2627"/>
      <c r="S34" s="2628"/>
      <c r="T34" s="2629"/>
      <c r="U34" s="2629"/>
      <c r="V34" s="2629"/>
      <c r="X34" s="2629"/>
      <c r="Y34" s="2629"/>
      <c r="Z34" s="2629"/>
    </row>
    <row r="35" spans="1:26">
      <c r="A35" s="2617" t="s">
        <v>2584</v>
      </c>
      <c r="B35" s="2630">
        <f>B34/(1+N34)</f>
        <v>275.49301357645425</v>
      </c>
      <c r="C35" s="2630">
        <f>C34/(1+O34)</f>
        <v>232.41954707985698</v>
      </c>
      <c r="D35" s="2630">
        <f t="shared" si="109"/>
        <v>232.41954707985698</v>
      </c>
      <c r="E35" s="2630">
        <f t="shared" ref="E35:F37" si="120">E34/(1+P34)</f>
        <v>375.32184591008121</v>
      </c>
      <c r="F35" s="2630">
        <f t="shared" si="120"/>
        <v>218.03766105054513</v>
      </c>
      <c r="G35" s="3576"/>
      <c r="H35" s="2641">
        <v>3</v>
      </c>
      <c r="I35" s="2641">
        <v>0.09</v>
      </c>
      <c r="J35" s="2641">
        <v>0.28999999999999998</v>
      </c>
      <c r="K35" s="2641">
        <v>-0.01</v>
      </c>
      <c r="L35" s="2642">
        <v>0.57999999999999996</v>
      </c>
      <c r="N35" s="2625">
        <f t="shared" si="111"/>
        <v>8.9999999999999998E-4</v>
      </c>
      <c r="O35" s="2626">
        <f t="shared" si="111"/>
        <v>2.8999999999999998E-3</v>
      </c>
      <c r="P35" s="2626">
        <f t="shared" si="111"/>
        <v>-1E-4</v>
      </c>
      <c r="Q35" s="2626">
        <f t="shared" si="111"/>
        <v>5.7999999999999996E-3</v>
      </c>
      <c r="R35" s="2627"/>
      <c r="S35" s="2625"/>
      <c r="T35" s="2626"/>
      <c r="U35" s="2626"/>
      <c r="V35" s="2626"/>
    </row>
    <row r="36" spans="1:26">
      <c r="A36" s="2617" t="s">
        <v>2585</v>
      </c>
      <c r="B36" s="2630">
        <f>B35/(1+N35)</f>
        <v>275.24529281292263</v>
      </c>
      <c r="C36" s="2630">
        <f>C35/(1+O35)</f>
        <v>231.74747938962707</v>
      </c>
      <c r="D36" s="2630">
        <f t="shared" si="109"/>
        <v>231.74747938962707</v>
      </c>
      <c r="E36" s="2630">
        <f t="shared" si="120"/>
        <v>375.35938184826603</v>
      </c>
      <c r="F36" s="2630">
        <f t="shared" si="120"/>
        <v>216.78033510692495</v>
      </c>
      <c r="G36" s="3576"/>
      <c r="H36" s="2621">
        <v>2</v>
      </c>
      <c r="I36" s="2621">
        <v>0.02</v>
      </c>
      <c r="J36" s="2621">
        <v>0.12</v>
      </c>
      <c r="K36" s="2621">
        <v>-0.08</v>
      </c>
      <c r="L36" s="2632">
        <v>1.24</v>
      </c>
      <c r="N36" s="2625">
        <f t="shared" si="111"/>
        <v>2.0000000000000001E-4</v>
      </c>
      <c r="O36" s="2626">
        <f t="shared" si="111"/>
        <v>1.1999999999999999E-3</v>
      </c>
      <c r="P36" s="2626">
        <f t="shared" si="111"/>
        <v>-8.0000000000000004E-4</v>
      </c>
      <c r="Q36" s="2626">
        <f t="shared" si="111"/>
        <v>1.24E-2</v>
      </c>
      <c r="R36" s="2627"/>
      <c r="S36" s="2625"/>
      <c r="T36" s="2626"/>
      <c r="U36" s="2626"/>
      <c r="V36" s="2626"/>
    </row>
    <row r="37" spans="1:26" ht="13.8" thickBot="1">
      <c r="A37" s="2617" t="s">
        <v>2586</v>
      </c>
      <c r="B37" s="2630">
        <f>B36/(1+N36)</f>
        <v>275.19025476197027</v>
      </c>
      <c r="C37" s="2662">
        <v>232</v>
      </c>
      <c r="D37" s="2662">
        <f t="shared" si="109"/>
        <v>232</v>
      </c>
      <c r="E37" s="2630">
        <f t="shared" si="120"/>
        <v>375.65990977608692</v>
      </c>
      <c r="F37" s="2630">
        <f t="shared" si="120"/>
        <v>214.12518283971252</v>
      </c>
      <c r="G37" s="3577"/>
      <c r="H37" s="2620">
        <v>1</v>
      </c>
      <c r="I37" s="2620">
        <v>0.02</v>
      </c>
      <c r="J37" s="2620">
        <v>0.13</v>
      </c>
      <c r="K37" s="2620">
        <v>-0.04</v>
      </c>
      <c r="L37" s="2631">
        <v>0.46</v>
      </c>
      <c r="N37" s="2625">
        <f t="shared" si="111"/>
        <v>2.0000000000000001E-4</v>
      </c>
      <c r="O37" s="2626">
        <f t="shared" si="111"/>
        <v>1.2999999999999999E-3</v>
      </c>
      <c r="P37" s="2626">
        <f t="shared" si="111"/>
        <v>-4.0000000000000002E-4</v>
      </c>
      <c r="Q37" s="2626">
        <f t="shared" si="111"/>
        <v>4.5999999999999999E-3</v>
      </c>
      <c r="R37" s="2627"/>
      <c r="S37" s="2633">
        <f>B37/B38-1</f>
        <v>6.9183549807361189E-4</v>
      </c>
      <c r="T37" s="2634">
        <f>C37/C38-1</f>
        <v>0</v>
      </c>
      <c r="U37" s="2634">
        <f>E37/E38-1</f>
        <v>-9.0449527636460303E-4</v>
      </c>
      <c r="V37" s="2634">
        <f>F37/F38-1</f>
        <v>5.2825485432512753E-3</v>
      </c>
      <c r="X37" s="2635"/>
      <c r="Y37" s="2635"/>
      <c r="Z37" s="2635"/>
    </row>
    <row r="38" spans="1:26" ht="13.8" thickBot="1">
      <c r="A38" s="2617" t="s">
        <v>2587</v>
      </c>
      <c r="B38" s="2622">
        <v>275</v>
      </c>
      <c r="C38" s="2622">
        <v>232</v>
      </c>
      <c r="D38" s="2622">
        <f t="shared" si="109"/>
        <v>232</v>
      </c>
      <c r="E38" s="2622">
        <v>376</v>
      </c>
      <c r="F38" s="2623">
        <v>213</v>
      </c>
      <c r="G38" s="3575">
        <v>2011</v>
      </c>
      <c r="H38" s="2636">
        <v>4</v>
      </c>
      <c r="I38" s="2636">
        <v>-0.2</v>
      </c>
      <c r="J38" s="2636">
        <v>0.04</v>
      </c>
      <c r="K38" s="2636">
        <v>-0.34</v>
      </c>
      <c r="L38" s="2637">
        <v>0.46</v>
      </c>
      <c r="N38" s="2638">
        <f t="shared" si="111"/>
        <v>-2E-3</v>
      </c>
      <c r="O38" s="2639">
        <f t="shared" si="111"/>
        <v>4.0000000000000002E-4</v>
      </c>
      <c r="P38" s="2639">
        <f t="shared" si="111"/>
        <v>-3.4000000000000002E-3</v>
      </c>
      <c r="Q38" s="2639">
        <f t="shared" si="111"/>
        <v>4.5999999999999999E-3</v>
      </c>
      <c r="R38" s="2627"/>
      <c r="S38" s="2628"/>
      <c r="T38" s="2629"/>
      <c r="U38" s="2629"/>
      <c r="V38" s="2629"/>
      <c r="X38" s="2629"/>
      <c r="Y38" s="2629"/>
      <c r="Z38" s="2629"/>
    </row>
    <row r="39" spans="1:26">
      <c r="A39" s="2617" t="s">
        <v>2588</v>
      </c>
      <c r="B39" s="2630">
        <f t="shared" ref="B39:C41" si="121">B38/(1+N38)</f>
        <v>275.55110220440883</v>
      </c>
      <c r="C39" s="2630">
        <f t="shared" si="121"/>
        <v>231.90723710515795</v>
      </c>
      <c r="D39" s="2630">
        <f t="shared" si="109"/>
        <v>231.90723710515795</v>
      </c>
      <c r="E39" s="2630">
        <f t="shared" ref="E39:F41" si="122">E38/(1+P38)</f>
        <v>377.28276138872161</v>
      </c>
      <c r="F39" s="2630">
        <f t="shared" si="122"/>
        <v>212.02468644236512</v>
      </c>
      <c r="G39" s="3576">
        <v>2011</v>
      </c>
      <c r="H39" s="2641">
        <v>3</v>
      </c>
      <c r="I39" s="2641">
        <v>0.13</v>
      </c>
      <c r="J39" s="2641">
        <v>0.75</v>
      </c>
      <c r="K39" s="2641">
        <v>-0.08</v>
      </c>
      <c r="L39" s="2642">
        <v>0.53</v>
      </c>
      <c r="N39" s="2625">
        <f t="shared" si="111"/>
        <v>1.2999999999999999E-3</v>
      </c>
      <c r="O39" s="2643">
        <f t="shared" si="111"/>
        <v>7.4999999999999997E-3</v>
      </c>
      <c r="P39" s="2643">
        <f t="shared" si="111"/>
        <v>-8.0000000000000004E-4</v>
      </c>
      <c r="Q39" s="2643">
        <f t="shared" si="111"/>
        <v>5.3E-3</v>
      </c>
      <c r="R39" s="2627"/>
      <c r="S39" s="2625"/>
      <c r="T39" s="2626"/>
      <c r="U39" s="2626"/>
      <c r="V39" s="2626"/>
    </row>
    <row r="40" spans="1:26">
      <c r="A40" s="2617" t="s">
        <v>2589</v>
      </c>
      <c r="B40" s="2630">
        <f t="shared" si="121"/>
        <v>275.19335084830601</v>
      </c>
      <c r="C40" s="2630">
        <f t="shared" si="121"/>
        <v>230.18088050139744</v>
      </c>
      <c r="D40" s="2630">
        <f t="shared" si="109"/>
        <v>230.18088050139744</v>
      </c>
      <c r="E40" s="2630">
        <f t="shared" si="122"/>
        <v>377.58482925212331</v>
      </c>
      <c r="F40" s="2630">
        <f t="shared" si="122"/>
        <v>210.90687997847917</v>
      </c>
      <c r="G40" s="3576">
        <v>2011</v>
      </c>
      <c r="H40" s="2621">
        <v>2</v>
      </c>
      <c r="I40" s="2621">
        <v>-0.4</v>
      </c>
      <c r="J40" s="2621">
        <v>0.17</v>
      </c>
      <c r="K40" s="2621">
        <v>-0.57999999999999996</v>
      </c>
      <c r="L40" s="2632">
        <v>-0.2</v>
      </c>
      <c r="N40" s="2625">
        <f t="shared" si="111"/>
        <v>-4.0000000000000001E-3</v>
      </c>
      <c r="O40" s="2643">
        <f t="shared" si="111"/>
        <v>1.7000000000000001E-3</v>
      </c>
      <c r="P40" s="2643">
        <f t="shared" si="111"/>
        <v>-5.7999999999999996E-3</v>
      </c>
      <c r="Q40" s="2643">
        <f t="shared" si="111"/>
        <v>-2E-3</v>
      </c>
      <c r="R40" s="2627"/>
      <c r="S40" s="2625"/>
      <c r="T40" s="2626"/>
      <c r="U40" s="2626"/>
      <c r="V40" s="2626"/>
    </row>
    <row r="41" spans="1:26" ht="13.8" thickBot="1">
      <c r="A41" s="2617" t="s">
        <v>2590</v>
      </c>
      <c r="B41" s="2630">
        <f t="shared" si="121"/>
        <v>276.29854502841971</v>
      </c>
      <c r="C41" s="2630">
        <f t="shared" si="121"/>
        <v>229.79023709833027</v>
      </c>
      <c r="D41" s="2630">
        <f t="shared" si="109"/>
        <v>229.79023709833027</v>
      </c>
      <c r="E41" s="2630">
        <f t="shared" si="122"/>
        <v>379.78759731655936</v>
      </c>
      <c r="F41" s="2630">
        <f t="shared" si="122"/>
        <v>211.32953905659235</v>
      </c>
      <c r="G41" s="3577">
        <v>2011</v>
      </c>
      <c r="H41" s="2620">
        <v>1</v>
      </c>
      <c r="I41" s="2620">
        <v>2.65</v>
      </c>
      <c r="J41" s="2620">
        <v>3.76</v>
      </c>
      <c r="K41" s="2620">
        <v>1.89</v>
      </c>
      <c r="L41" s="2631">
        <v>7.95</v>
      </c>
      <c r="N41" s="2633">
        <f t="shared" si="111"/>
        <v>2.6499999999999999E-2</v>
      </c>
      <c r="O41" s="2634">
        <f t="shared" si="111"/>
        <v>3.7599999999999995E-2</v>
      </c>
      <c r="P41" s="2634">
        <f t="shared" si="111"/>
        <v>1.89E-2</v>
      </c>
      <c r="Q41" s="2634">
        <f t="shared" si="111"/>
        <v>7.9500000000000001E-2</v>
      </c>
      <c r="R41" s="2627"/>
      <c r="S41" s="2633">
        <f>B41/B42-1</f>
        <v>2.713213765211786E-2</v>
      </c>
      <c r="T41" s="2634">
        <f>C41/C42-1</f>
        <v>3.9774828499231862E-2</v>
      </c>
      <c r="U41" s="2634">
        <f>E41/E42-1</f>
        <v>1.8197311840641772E-2</v>
      </c>
      <c r="V41" s="2634">
        <f>F41/F42-1</f>
        <v>7.8211933962205826E-2</v>
      </c>
      <c r="X41" s="2635"/>
      <c r="Y41" s="2635"/>
      <c r="Z41" s="2635"/>
    </row>
    <row r="42" spans="1:26" ht="13.8" thickBot="1">
      <c r="A42" s="2617" t="s">
        <v>2591</v>
      </c>
      <c r="B42" s="2622">
        <v>269</v>
      </c>
      <c r="C42" s="2622">
        <v>221</v>
      </c>
      <c r="D42" s="2622">
        <f t="shared" si="109"/>
        <v>221</v>
      </c>
      <c r="E42" s="2622">
        <v>373</v>
      </c>
      <c r="F42" s="2623">
        <v>196</v>
      </c>
      <c r="G42" s="3575">
        <v>2010</v>
      </c>
      <c r="H42" s="2636">
        <v>4</v>
      </c>
      <c r="I42" s="2636">
        <v>5.72</v>
      </c>
      <c r="J42" s="2636">
        <v>6.57</v>
      </c>
      <c r="K42" s="2636">
        <v>5.72</v>
      </c>
      <c r="L42" s="2637">
        <v>2.72</v>
      </c>
      <c r="N42" s="2625">
        <f t="shared" si="111"/>
        <v>5.7200000000000001E-2</v>
      </c>
      <c r="O42" s="2626">
        <f t="shared" si="111"/>
        <v>6.5700000000000008E-2</v>
      </c>
      <c r="P42" s="2626">
        <f t="shared" si="111"/>
        <v>5.7200000000000001E-2</v>
      </c>
      <c r="Q42" s="2626">
        <f t="shared" si="111"/>
        <v>2.7200000000000002E-2</v>
      </c>
      <c r="R42" s="2627"/>
      <c r="S42" s="2628"/>
      <c r="T42" s="2629"/>
      <c r="U42" s="2629"/>
      <c r="V42" s="2629"/>
      <c r="X42" s="2629"/>
      <c r="Y42" s="2629"/>
      <c r="Z42" s="2629"/>
    </row>
    <row r="43" spans="1:26">
      <c r="A43" s="2617" t="s">
        <v>2592</v>
      </c>
      <c r="B43" s="2630">
        <f t="shared" ref="B43:C45" si="123">B42/(1+N42)</f>
        <v>254.44570563753314</v>
      </c>
      <c r="C43" s="2630">
        <f t="shared" si="123"/>
        <v>207.37543398705074</v>
      </c>
      <c r="D43" s="2630">
        <f t="shared" si="109"/>
        <v>207.37543398705074</v>
      </c>
      <c r="E43" s="2630">
        <f t="shared" ref="E43:F45" si="124">E42/(1+P42)</f>
        <v>352.81876655315932</v>
      </c>
      <c r="F43" s="2630">
        <f t="shared" si="124"/>
        <v>190.809968847352</v>
      </c>
      <c r="G43" s="3576">
        <v>2010</v>
      </c>
      <c r="H43" s="2641">
        <v>3</v>
      </c>
      <c r="I43" s="2641">
        <v>4.7300000000000004</v>
      </c>
      <c r="J43" s="2641">
        <v>3.9</v>
      </c>
      <c r="K43" s="2641">
        <v>5.03</v>
      </c>
      <c r="L43" s="2642">
        <v>4.21</v>
      </c>
      <c r="N43" s="2625">
        <f t="shared" si="111"/>
        <v>4.7300000000000002E-2</v>
      </c>
      <c r="O43" s="2626">
        <f t="shared" si="111"/>
        <v>3.9E-2</v>
      </c>
      <c r="P43" s="2626">
        <f t="shared" si="111"/>
        <v>5.0300000000000004E-2</v>
      </c>
      <c r="Q43" s="2626">
        <f t="shared" si="111"/>
        <v>4.2099999999999999E-2</v>
      </c>
      <c r="R43" s="2627"/>
      <c r="S43" s="2625"/>
      <c r="T43" s="2626"/>
      <c r="U43" s="2626"/>
      <c r="V43" s="2626"/>
    </row>
    <row r="44" spans="1:26">
      <c r="A44" s="2617" t="s">
        <v>2593</v>
      </c>
      <c r="B44" s="2630">
        <f t="shared" si="123"/>
        <v>242.95398227588385</v>
      </c>
      <c r="C44" s="2630">
        <f t="shared" si="123"/>
        <v>199.59137053614126</v>
      </c>
      <c r="D44" s="2630">
        <f t="shared" si="109"/>
        <v>199.59137053614126</v>
      </c>
      <c r="E44" s="2630">
        <f t="shared" si="124"/>
        <v>335.92189522342125</v>
      </c>
      <c r="F44" s="2630">
        <f t="shared" si="124"/>
        <v>183.10139991109489</v>
      </c>
      <c r="G44" s="3576">
        <v>2010</v>
      </c>
      <c r="H44" s="2621">
        <v>2</v>
      </c>
      <c r="I44" s="2621">
        <v>4.6900000000000004</v>
      </c>
      <c r="J44" s="2621">
        <v>3.55</v>
      </c>
      <c r="K44" s="2621">
        <v>5.07</v>
      </c>
      <c r="L44" s="2632">
        <v>4.2300000000000004</v>
      </c>
      <c r="N44" s="2625">
        <f t="shared" si="111"/>
        <v>4.6900000000000004E-2</v>
      </c>
      <c r="O44" s="2626">
        <f t="shared" si="111"/>
        <v>3.5499999999999997E-2</v>
      </c>
      <c r="P44" s="2626">
        <f t="shared" si="111"/>
        <v>5.0700000000000002E-2</v>
      </c>
      <c r="Q44" s="2626">
        <f t="shared" si="111"/>
        <v>4.2300000000000004E-2</v>
      </c>
      <c r="R44" s="2627"/>
      <c r="S44" s="2625"/>
      <c r="T44" s="2626"/>
      <c r="U44" s="2626"/>
      <c r="V44" s="2626"/>
    </row>
    <row r="45" spans="1:26" ht="13.8" thickBot="1">
      <c r="A45" s="2617" t="s">
        <v>2594</v>
      </c>
      <c r="B45" s="2630">
        <f t="shared" si="123"/>
        <v>232.06990378821649</v>
      </c>
      <c r="C45" s="2630">
        <f t="shared" si="123"/>
        <v>192.74878854286936</v>
      </c>
      <c r="D45" s="2630">
        <f t="shared" si="109"/>
        <v>192.74878854286936</v>
      </c>
      <c r="E45" s="2630">
        <f t="shared" si="124"/>
        <v>319.71247284992984</v>
      </c>
      <c r="F45" s="2630">
        <f t="shared" si="124"/>
        <v>175.67053622862409</v>
      </c>
      <c r="G45" s="3577">
        <v>2010</v>
      </c>
      <c r="H45" s="2620">
        <v>1</v>
      </c>
      <c r="I45" s="2620">
        <v>5.4</v>
      </c>
      <c r="J45" s="2620">
        <v>3.2</v>
      </c>
      <c r="K45" s="2620">
        <v>6.16</v>
      </c>
      <c r="L45" s="2631">
        <v>4.51</v>
      </c>
      <c r="N45" s="2625">
        <f t="shared" si="111"/>
        <v>5.4000000000000006E-2</v>
      </c>
      <c r="O45" s="2626">
        <f t="shared" si="111"/>
        <v>3.2000000000000001E-2</v>
      </c>
      <c r="P45" s="2626">
        <f t="shared" si="111"/>
        <v>6.1600000000000002E-2</v>
      </c>
      <c r="Q45" s="2626">
        <f t="shared" si="111"/>
        <v>4.5100000000000001E-2</v>
      </c>
      <c r="R45" s="2627"/>
      <c r="S45" s="2633">
        <f>B45/B46-1</f>
        <v>5.4863199037347599E-2</v>
      </c>
      <c r="T45" s="2634">
        <f>C45/C46-1</f>
        <v>3.0742184721226584E-2</v>
      </c>
      <c r="U45" s="2634">
        <f>E45/E46-1</f>
        <v>6.2167683886810154E-2</v>
      </c>
      <c r="V45" s="2634">
        <f>F45/F46-1</f>
        <v>4.5657953741810031E-2</v>
      </c>
      <c r="X45" s="2635"/>
      <c r="Y45" s="2635"/>
      <c r="Z45" s="2635"/>
    </row>
    <row r="46" spans="1:26" ht="13.8" thickBot="1">
      <c r="A46" s="2617" t="s">
        <v>2595</v>
      </c>
      <c r="B46" s="2622">
        <v>220</v>
      </c>
      <c r="C46" s="2622">
        <v>187</v>
      </c>
      <c r="D46" s="2622">
        <f t="shared" si="109"/>
        <v>187</v>
      </c>
      <c r="E46" s="2622">
        <v>301</v>
      </c>
      <c r="F46" s="2623">
        <v>168</v>
      </c>
      <c r="G46" s="3575">
        <v>2009</v>
      </c>
      <c r="H46" s="2636">
        <v>4</v>
      </c>
      <c r="I46" s="2636">
        <v>2.2999999999999998</v>
      </c>
      <c r="J46" s="2636">
        <v>1.04</v>
      </c>
      <c r="K46" s="2636">
        <v>2.84</v>
      </c>
      <c r="L46" s="2637">
        <v>0.67</v>
      </c>
      <c r="N46" s="2638">
        <f t="shared" si="111"/>
        <v>2.3E-2</v>
      </c>
      <c r="O46" s="2639">
        <f t="shared" si="111"/>
        <v>1.04E-2</v>
      </c>
      <c r="P46" s="2639">
        <f t="shared" si="111"/>
        <v>2.8399999999999998E-2</v>
      </c>
      <c r="Q46" s="2639">
        <f t="shared" si="111"/>
        <v>6.7000000000000002E-3</v>
      </c>
      <c r="R46" s="2627"/>
      <c r="S46" s="2628"/>
      <c r="T46" s="2629"/>
      <c r="U46" s="2629"/>
      <c r="V46" s="2629"/>
      <c r="X46" s="2629"/>
      <c r="Y46" s="2629"/>
      <c r="Z46" s="2629"/>
    </row>
    <row r="47" spans="1:26">
      <c r="A47" s="2617" t="s">
        <v>2596</v>
      </c>
      <c r="B47" s="2630">
        <f t="shared" ref="B47:C49" si="125">B46/(1+N46)</f>
        <v>215.05376344086022</v>
      </c>
      <c r="C47" s="2630">
        <f t="shared" si="125"/>
        <v>185.0752177355503</v>
      </c>
      <c r="D47" s="2630">
        <f t="shared" si="109"/>
        <v>185.0752177355503</v>
      </c>
      <c r="E47" s="2630">
        <f t="shared" ref="E47:F49" si="126">E46/(1+P46)</f>
        <v>292.68767016725008</v>
      </c>
      <c r="F47" s="2630">
        <f t="shared" si="126"/>
        <v>166.88189132810174</v>
      </c>
      <c r="G47" s="3576">
        <v>2009</v>
      </c>
      <c r="H47" s="2641">
        <v>3</v>
      </c>
      <c r="I47" s="2641">
        <v>2.1</v>
      </c>
      <c r="J47" s="2641">
        <v>1.86</v>
      </c>
      <c r="K47" s="2641">
        <v>2.29</v>
      </c>
      <c r="L47" s="2642">
        <v>0.85</v>
      </c>
      <c r="N47" s="2625">
        <f t="shared" si="111"/>
        <v>2.1000000000000001E-2</v>
      </c>
      <c r="O47" s="2643">
        <f t="shared" si="111"/>
        <v>1.8600000000000002E-2</v>
      </c>
      <c r="P47" s="2643">
        <f t="shared" si="111"/>
        <v>2.29E-2</v>
      </c>
      <c r="Q47" s="2643">
        <f t="shared" si="111"/>
        <v>8.5000000000000006E-3</v>
      </c>
      <c r="R47" s="2627"/>
      <c r="S47" s="2625"/>
      <c r="T47" s="2626"/>
      <c r="U47" s="2626"/>
      <c r="V47" s="2626"/>
    </row>
    <row r="48" spans="1:26">
      <c r="A48" s="2617" t="s">
        <v>2597</v>
      </c>
      <c r="B48" s="2630">
        <f t="shared" si="125"/>
        <v>210.630522469011</v>
      </c>
      <c r="C48" s="2630">
        <f t="shared" si="125"/>
        <v>181.69567812247232</v>
      </c>
      <c r="D48" s="2630">
        <f t="shared" si="109"/>
        <v>181.69567812247232</v>
      </c>
      <c r="E48" s="2630">
        <f t="shared" si="126"/>
        <v>286.13517466736738</v>
      </c>
      <c r="F48" s="2630">
        <f t="shared" si="126"/>
        <v>165.47535084591149</v>
      </c>
      <c r="G48" s="3576">
        <v>2009</v>
      </c>
      <c r="H48" s="2621">
        <v>2</v>
      </c>
      <c r="I48" s="2621">
        <v>0.86</v>
      </c>
      <c r="J48" s="2621">
        <v>-1.1299999999999999</v>
      </c>
      <c r="K48" s="2621">
        <v>1.79</v>
      </c>
      <c r="L48" s="2632">
        <v>-2.0699999999999998</v>
      </c>
      <c r="N48" s="2625">
        <f t="shared" si="111"/>
        <v>8.6E-3</v>
      </c>
      <c r="O48" s="2643">
        <f t="shared" si="111"/>
        <v>-1.1299999999999999E-2</v>
      </c>
      <c r="P48" s="2643">
        <f t="shared" si="111"/>
        <v>1.7899999999999999E-2</v>
      </c>
      <c r="Q48" s="2643">
        <f t="shared" si="111"/>
        <v>-2.07E-2</v>
      </c>
      <c r="R48" s="2627"/>
      <c r="S48" s="2625"/>
      <c r="T48" s="2626"/>
      <c r="U48" s="2626"/>
      <c r="V48" s="2626"/>
    </row>
    <row r="49" spans="1:26">
      <c r="A49" s="2617" t="s">
        <v>2598</v>
      </c>
      <c r="B49" s="2630">
        <f t="shared" si="125"/>
        <v>208.83454537875372</v>
      </c>
      <c r="C49" s="2630">
        <f t="shared" si="125"/>
        <v>183.77230517090351</v>
      </c>
      <c r="D49" s="2630">
        <f t="shared" si="109"/>
        <v>183.77230517090351</v>
      </c>
      <c r="E49" s="2630">
        <f t="shared" si="126"/>
        <v>281.10342338870947</v>
      </c>
      <c r="F49" s="2630">
        <f t="shared" si="126"/>
        <v>168.97309388942256</v>
      </c>
      <c r="G49" s="3577">
        <v>2009</v>
      </c>
      <c r="H49" s="2620">
        <v>1</v>
      </c>
      <c r="I49" s="2620">
        <v>-2.64</v>
      </c>
      <c r="J49" s="2620">
        <v>-2.5299999999999998</v>
      </c>
      <c r="K49" s="2620">
        <v>-3.02</v>
      </c>
      <c r="L49" s="2631">
        <v>1.52</v>
      </c>
      <c r="N49" s="2633">
        <f t="shared" si="111"/>
        <v>-2.64E-2</v>
      </c>
      <c r="O49" s="2634">
        <f t="shared" si="111"/>
        <v>-2.53E-2</v>
      </c>
      <c r="P49" s="2634">
        <f t="shared" si="111"/>
        <v>-3.0200000000000001E-2</v>
      </c>
      <c r="Q49" s="2634">
        <f t="shared" si="111"/>
        <v>1.52E-2</v>
      </c>
      <c r="R49" s="2627"/>
      <c r="S49" s="2633">
        <f>B49/B50-1</f>
        <v>-2.4137638417038754E-2</v>
      </c>
      <c r="T49" s="2634">
        <f>C49/C50-1</f>
        <v>-2.248773845264096E-2</v>
      </c>
      <c r="U49" s="2634">
        <f>E49/E50-1</f>
        <v>-2.7323794502735366E-2</v>
      </c>
      <c r="V49" s="2634">
        <f>F49/F50-1</f>
        <v>1.7910204153148035E-2</v>
      </c>
      <c r="X49" s="2635"/>
      <c r="Y49" s="2635"/>
      <c r="Z49" s="2635"/>
    </row>
    <row r="50" spans="1:26" ht="13.8" thickBot="1">
      <c r="A50" s="2617" t="s">
        <v>2599</v>
      </c>
      <c r="B50" s="2660">
        <v>214</v>
      </c>
      <c r="C50" s="2660">
        <v>188</v>
      </c>
      <c r="D50" s="2660">
        <f t="shared" si="109"/>
        <v>188</v>
      </c>
      <c r="E50" s="2660">
        <v>289</v>
      </c>
      <c r="F50" s="2661">
        <v>166</v>
      </c>
      <c r="G50" s="3575">
        <v>2008</v>
      </c>
      <c r="H50" s="2636">
        <v>4</v>
      </c>
      <c r="I50" s="2636">
        <v>1.73</v>
      </c>
      <c r="J50" s="2636">
        <v>0.03</v>
      </c>
      <c r="K50" s="2636">
        <v>2.59</v>
      </c>
      <c r="L50" s="2637">
        <v>-1.66</v>
      </c>
      <c r="N50" s="2625">
        <f t="shared" si="111"/>
        <v>1.7299999999999999E-2</v>
      </c>
      <c r="O50" s="2626">
        <f t="shared" si="111"/>
        <v>2.9999999999999997E-4</v>
      </c>
      <c r="P50" s="2626">
        <f t="shared" si="111"/>
        <v>2.5899999999999999E-2</v>
      </c>
      <c r="Q50" s="2626">
        <f t="shared" si="111"/>
        <v>-1.66E-2</v>
      </c>
      <c r="R50" s="2627"/>
      <c r="S50" s="2628"/>
      <c r="T50" s="2629"/>
      <c r="U50" s="2629"/>
      <c r="V50" s="2629"/>
      <c r="X50" s="2629"/>
      <c r="Y50" s="2629"/>
      <c r="Z50" s="2629"/>
    </row>
    <row r="51" spans="1:26">
      <c r="A51" s="2617" t="s">
        <v>2600</v>
      </c>
      <c r="B51" s="2630">
        <f t="shared" ref="B51:C53" si="127">B50/(1+N50)</f>
        <v>210.36075887152265</v>
      </c>
      <c r="C51" s="2630">
        <f t="shared" si="127"/>
        <v>187.94361691492554</v>
      </c>
      <c r="D51" s="2630">
        <f t="shared" si="109"/>
        <v>187.94361691492554</v>
      </c>
      <c r="E51" s="2630">
        <f t="shared" ref="E51:F53" si="128">E50/(1+P50)</f>
        <v>281.70386977288234</v>
      </c>
      <c r="F51" s="2630">
        <f t="shared" si="128"/>
        <v>168.80211511083994</v>
      </c>
      <c r="G51" s="3576">
        <v>2008</v>
      </c>
      <c r="H51" s="2641">
        <v>3</v>
      </c>
      <c r="I51" s="2641">
        <v>1.96</v>
      </c>
      <c r="J51" s="2641">
        <v>2.36</v>
      </c>
      <c r="K51" s="2641">
        <v>1.82</v>
      </c>
      <c r="L51" s="2642">
        <v>2.2200000000000002</v>
      </c>
      <c r="N51" s="2625">
        <f t="shared" si="111"/>
        <v>1.9599999999999999E-2</v>
      </c>
      <c r="O51" s="2626">
        <f t="shared" si="111"/>
        <v>2.3599999999999999E-2</v>
      </c>
      <c r="P51" s="2626">
        <f t="shared" si="111"/>
        <v>1.8200000000000001E-2</v>
      </c>
      <c r="Q51" s="2626">
        <f t="shared" si="111"/>
        <v>2.2200000000000001E-2</v>
      </c>
      <c r="R51" s="2627"/>
      <c r="S51" s="2625"/>
      <c r="T51" s="2626"/>
      <c r="U51" s="2626"/>
      <c r="V51" s="2626"/>
    </row>
    <row r="52" spans="1:26">
      <c r="A52" s="2617" t="s">
        <v>2601</v>
      </c>
      <c r="B52" s="2630">
        <f t="shared" si="127"/>
        <v>206.31694671589116</v>
      </c>
      <c r="C52" s="2630">
        <f t="shared" si="127"/>
        <v>183.61041121036101</v>
      </c>
      <c r="D52" s="2630">
        <f t="shared" si="109"/>
        <v>183.61041121036101</v>
      </c>
      <c r="E52" s="2630">
        <f t="shared" si="128"/>
        <v>276.66850301795557</v>
      </c>
      <c r="F52" s="2630">
        <f t="shared" si="128"/>
        <v>165.1360938278614</v>
      </c>
      <c r="G52" s="3576">
        <v>2008</v>
      </c>
      <c r="H52" s="2621">
        <v>2</v>
      </c>
      <c r="I52" s="2621">
        <v>4.93</v>
      </c>
      <c r="J52" s="2621">
        <v>7.38</v>
      </c>
      <c r="K52" s="2621">
        <v>3.98</v>
      </c>
      <c r="L52" s="2632">
        <v>6.86</v>
      </c>
      <c r="N52" s="2625">
        <f t="shared" si="111"/>
        <v>4.9299999999999997E-2</v>
      </c>
      <c r="O52" s="2626">
        <f t="shared" si="111"/>
        <v>7.3800000000000004E-2</v>
      </c>
      <c r="P52" s="2626">
        <f t="shared" si="111"/>
        <v>3.9800000000000002E-2</v>
      </c>
      <c r="Q52" s="2626">
        <f t="shared" si="111"/>
        <v>6.8600000000000008E-2</v>
      </c>
      <c r="R52" s="2627"/>
      <c r="S52" s="2625"/>
      <c r="T52" s="2626"/>
      <c r="U52" s="2626"/>
      <c r="V52" s="2626"/>
    </row>
    <row r="53" spans="1:26" s="2666" customFormat="1" ht="13.8" thickBot="1">
      <c r="A53" s="2617" t="s">
        <v>2602</v>
      </c>
      <c r="B53" s="2663">
        <f t="shared" si="127"/>
        <v>196.62341248059772</v>
      </c>
      <c r="C53" s="2663">
        <f t="shared" si="127"/>
        <v>170.99125648199012</v>
      </c>
      <c r="D53" s="2663">
        <f t="shared" si="109"/>
        <v>170.99125648199012</v>
      </c>
      <c r="E53" s="2663">
        <f t="shared" si="128"/>
        <v>266.07857570490052</v>
      </c>
      <c r="F53" s="2663">
        <f t="shared" si="128"/>
        <v>154.53499328828505</v>
      </c>
      <c r="G53" s="3577">
        <v>2008</v>
      </c>
      <c r="H53" s="2664">
        <v>1</v>
      </c>
      <c r="I53" s="2664">
        <v>4.1399999999999997</v>
      </c>
      <c r="J53" s="2664">
        <v>3.45</v>
      </c>
      <c r="K53" s="2664">
        <v>4.95</v>
      </c>
      <c r="L53" s="2665">
        <v>4.82</v>
      </c>
      <c r="N53" s="2667">
        <f t="shared" si="111"/>
        <v>4.1399999999999999E-2</v>
      </c>
      <c r="O53" s="2668">
        <f t="shared" si="111"/>
        <v>3.4500000000000003E-2</v>
      </c>
      <c r="P53" s="2668">
        <f t="shared" si="111"/>
        <v>4.9500000000000002E-2</v>
      </c>
      <c r="Q53" s="2668">
        <f t="shared" si="111"/>
        <v>4.82E-2</v>
      </c>
      <c r="R53" s="2669"/>
      <c r="S53" s="2667">
        <f>B53/B54-1</f>
        <v>4.5869215322328349E-2</v>
      </c>
      <c r="T53" s="2668">
        <f>C53/C54-1</f>
        <v>3.6310645345394743E-2</v>
      </c>
      <c r="U53" s="2668">
        <f>E53/E54-1</f>
        <v>4.7553447657088688E-2</v>
      </c>
      <c r="V53" s="2668">
        <f>F53/F54-1</f>
        <v>4.4155360055980086E-2</v>
      </c>
      <c r="X53" s="2670"/>
      <c r="Y53" s="2670"/>
      <c r="Z53" s="2670"/>
    </row>
    <row r="54" spans="1:26" ht="13.8" thickBot="1">
      <c r="A54" s="2617" t="s">
        <v>2603</v>
      </c>
      <c r="B54" s="2622">
        <v>188</v>
      </c>
      <c r="C54" s="2622">
        <v>165</v>
      </c>
      <c r="D54" s="2622">
        <f t="shared" si="109"/>
        <v>165</v>
      </c>
      <c r="E54" s="2622">
        <v>254</v>
      </c>
      <c r="F54" s="2623">
        <v>148</v>
      </c>
      <c r="G54" s="3575">
        <v>2007</v>
      </c>
      <c r="H54" s="2671">
        <v>4</v>
      </c>
      <c r="I54" s="2671">
        <v>5.51</v>
      </c>
      <c r="J54" s="2671">
        <v>4.8899999999999997</v>
      </c>
      <c r="K54" s="2671">
        <v>6.43</v>
      </c>
      <c r="L54" s="2672">
        <v>5.36</v>
      </c>
      <c r="N54" s="2673">
        <f t="shared" ref="N54:O57" si="129">B54/B55-1</f>
        <v>4.1339718365245526E-2</v>
      </c>
      <c r="O54" s="2674">
        <f t="shared" si="129"/>
        <v>4.0324492593776018E-2</v>
      </c>
      <c r="P54" s="2674">
        <f t="shared" ref="P54:Q57" si="130">E54/E55-1</f>
        <v>6.1625555347990968E-2</v>
      </c>
      <c r="Q54" s="2674">
        <f t="shared" si="130"/>
        <v>4.6757569250590603E-2</v>
      </c>
      <c r="R54" s="2627"/>
      <c r="S54" s="2628"/>
      <c r="T54" s="2629"/>
      <c r="U54" s="2629"/>
      <c r="V54" s="2629"/>
      <c r="X54" s="2629"/>
      <c r="Y54" s="2629"/>
      <c r="Z54" s="2629"/>
    </row>
    <row r="55" spans="1:26">
      <c r="A55" s="2617" t="s">
        <v>2604</v>
      </c>
      <c r="B55" s="2630">
        <f t="shared" ref="B55:C57" si="131">B56+(B$54-B$58)*I55/SUM(I$54:I$57)</f>
        <v>180.5366651097618</v>
      </c>
      <c r="C55" s="2630">
        <f t="shared" si="131"/>
        <v>158.60435967302453</v>
      </c>
      <c r="D55" s="2630">
        <f t="shared" si="109"/>
        <v>158.60435967302453</v>
      </c>
      <c r="E55" s="2630">
        <f t="shared" ref="E55:F57" si="132">E56+(E$54-E$58)*K55/SUM(K$54:K$57)</f>
        <v>239.25573260785075</v>
      </c>
      <c r="F55" s="2630">
        <f t="shared" si="132"/>
        <v>141.38899430740037</v>
      </c>
      <c r="G55" s="3576">
        <v>2007</v>
      </c>
      <c r="H55" s="2641">
        <v>3</v>
      </c>
      <c r="I55" s="2641">
        <v>8.65</v>
      </c>
      <c r="J55" s="2641">
        <v>8.06</v>
      </c>
      <c r="K55" s="2641">
        <v>9.94</v>
      </c>
      <c r="L55" s="2642">
        <v>5.8</v>
      </c>
      <c r="N55" s="2673">
        <f t="shared" si="129"/>
        <v>6.940217571740015E-2</v>
      </c>
      <c r="O55" s="2674">
        <f t="shared" si="129"/>
        <v>7.1197482471153428E-2</v>
      </c>
      <c r="P55" s="2674">
        <f t="shared" si="130"/>
        <v>0.10529679922579582</v>
      </c>
      <c r="Q55" s="2674">
        <f t="shared" si="130"/>
        <v>5.3292245059512133E-2</v>
      </c>
      <c r="R55" s="2627"/>
      <c r="S55" s="2625"/>
      <c r="T55" s="2626"/>
      <c r="U55" s="2626"/>
      <c r="V55" s="2626"/>
      <c r="X55" s="2675"/>
      <c r="Y55" s="2675"/>
      <c r="Z55" s="2675"/>
    </row>
    <row r="56" spans="1:26">
      <c r="A56" s="2617" t="s">
        <v>2605</v>
      </c>
      <c r="B56" s="2630">
        <f t="shared" si="131"/>
        <v>168.82017748715555</v>
      </c>
      <c r="C56" s="2630">
        <f t="shared" si="131"/>
        <v>148.06267029972753</v>
      </c>
      <c r="D56" s="2630">
        <f t="shared" si="109"/>
        <v>148.06267029972753</v>
      </c>
      <c r="E56" s="2630">
        <f t="shared" si="132"/>
        <v>216.46288379323747</v>
      </c>
      <c r="F56" s="2630">
        <f t="shared" si="132"/>
        <v>134.23529411764704</v>
      </c>
      <c r="G56" s="3576">
        <v>2007</v>
      </c>
      <c r="H56" s="2621">
        <v>2</v>
      </c>
      <c r="I56" s="2621">
        <v>3.67</v>
      </c>
      <c r="J56" s="2621">
        <v>2.3199999999999998</v>
      </c>
      <c r="K56" s="2621">
        <v>5.0199999999999996</v>
      </c>
      <c r="L56" s="2632">
        <v>6.71</v>
      </c>
      <c r="N56" s="2673">
        <f t="shared" si="129"/>
        <v>3.0339138143848032E-2</v>
      </c>
      <c r="O56" s="2674">
        <f t="shared" si="129"/>
        <v>2.0922341588790472E-2</v>
      </c>
      <c r="P56" s="2674">
        <f t="shared" si="130"/>
        <v>5.6164796592717003E-2</v>
      </c>
      <c r="Q56" s="2674">
        <f t="shared" si="130"/>
        <v>6.5704536723887319E-2</v>
      </c>
      <c r="R56" s="2627"/>
      <c r="S56" s="2625"/>
      <c r="T56" s="2626"/>
      <c r="U56" s="2626"/>
      <c r="V56" s="2626"/>
      <c r="X56" s="2675"/>
      <c r="Y56" s="2675"/>
      <c r="Z56" s="2675"/>
    </row>
    <row r="57" spans="1:26">
      <c r="A57" s="2617" t="s">
        <v>2606</v>
      </c>
      <c r="B57" s="2630">
        <f t="shared" si="131"/>
        <v>163.84913591779542</v>
      </c>
      <c r="C57" s="2630">
        <f t="shared" si="131"/>
        <v>145.0283378746594</v>
      </c>
      <c r="D57" s="2630">
        <f t="shared" si="109"/>
        <v>145.0283378746594</v>
      </c>
      <c r="E57" s="2630">
        <f t="shared" si="132"/>
        <v>204.95180722891567</v>
      </c>
      <c r="F57" s="2630">
        <f t="shared" si="132"/>
        <v>125.95920303605313</v>
      </c>
      <c r="G57" s="3577">
        <v>2007</v>
      </c>
      <c r="H57" s="2620">
        <v>1</v>
      </c>
      <c r="I57" s="2620">
        <v>3.58</v>
      </c>
      <c r="J57" s="2620">
        <v>3.08</v>
      </c>
      <c r="K57" s="2620">
        <v>4.34</v>
      </c>
      <c r="L57" s="2631">
        <v>3.21</v>
      </c>
      <c r="N57" s="2676">
        <f t="shared" si="129"/>
        <v>3.0497710174814063E-2</v>
      </c>
      <c r="O57" s="2677">
        <f t="shared" si="129"/>
        <v>2.8569772160704998E-2</v>
      </c>
      <c r="P57" s="2677">
        <f t="shared" si="130"/>
        <v>5.1034908866234296E-2</v>
      </c>
      <c r="Q57" s="2677">
        <f t="shared" si="130"/>
        <v>3.245248390207478E-2</v>
      </c>
      <c r="R57" s="2627"/>
      <c r="S57" s="2633">
        <f>B57/B58-1</f>
        <v>3.0497710174814063E-2</v>
      </c>
      <c r="T57" s="2634">
        <f>C57/C58-1</f>
        <v>2.8569772160704998E-2</v>
      </c>
      <c r="U57" s="2634">
        <f>E57/E58-1</f>
        <v>5.1034908866234296E-2</v>
      </c>
      <c r="V57" s="2634">
        <f>F57/F58-1</f>
        <v>3.245248390207478E-2</v>
      </c>
      <c r="X57" s="2675"/>
      <c r="Y57" s="2675"/>
      <c r="Z57" s="2675"/>
    </row>
    <row r="58" spans="1:26" ht="13.8" thickBot="1">
      <c r="A58" s="2617" t="s">
        <v>2607</v>
      </c>
      <c r="B58" s="2644">
        <v>159</v>
      </c>
      <c r="C58" s="2644">
        <v>141</v>
      </c>
      <c r="D58" s="2644">
        <f t="shared" si="109"/>
        <v>141</v>
      </c>
      <c r="E58" s="2644">
        <v>195</v>
      </c>
      <c r="F58" s="2645">
        <v>122</v>
      </c>
      <c r="G58" s="3575">
        <v>2006</v>
      </c>
      <c r="H58" s="2636">
        <v>4</v>
      </c>
      <c r="I58" s="2636">
        <v>3.79</v>
      </c>
      <c r="J58" s="2636">
        <v>2.21</v>
      </c>
      <c r="K58" s="2636">
        <v>5.65</v>
      </c>
      <c r="L58" s="2637">
        <v>5.41</v>
      </c>
      <c r="N58" s="2673">
        <f t="shared" ref="N58:O61" si="133">I58/SUM(I$58:I$61)*(B$58/B$62-1)</f>
        <v>7.245466462748526E-2</v>
      </c>
      <c r="O58" s="2674">
        <f t="shared" si="133"/>
        <v>2.3237230038062766E-2</v>
      </c>
      <c r="P58" s="2674">
        <f t="shared" ref="P58:Q61" si="134">K58/SUM(K$58:K$61)*(E$58/E$62-1)</f>
        <v>0.16146893866323722</v>
      </c>
      <c r="Q58" s="2674">
        <f t="shared" si="134"/>
        <v>5.0755230321793784E-2</v>
      </c>
      <c r="R58" s="2627"/>
      <c r="S58" s="2628"/>
      <c r="T58" s="2629"/>
      <c r="U58" s="2629"/>
      <c r="V58" s="2629"/>
      <c r="X58" s="2675"/>
      <c r="Y58" s="2675"/>
      <c r="Z58" s="2675"/>
    </row>
    <row r="59" spans="1:26">
      <c r="A59" s="2617" t="s">
        <v>2608</v>
      </c>
      <c r="B59" s="2630">
        <f t="shared" ref="B59:C61" si="135">B60+(B$58-B$62)*I59/SUM(I$58:I$61)</f>
        <v>149.00125628140702</v>
      </c>
      <c r="C59" s="2630">
        <f t="shared" si="135"/>
        <v>137.95592286501378</v>
      </c>
      <c r="D59" s="2630">
        <f t="shared" si="109"/>
        <v>137.95592286501378</v>
      </c>
      <c r="E59" s="2630">
        <f t="shared" ref="E59:F61" si="136">E60+(E$58-E$62)*K59/SUM(K$58:K$61)</f>
        <v>169.97231450719823</v>
      </c>
      <c r="F59" s="2630">
        <f t="shared" si="136"/>
        <v>116.21390374331551</v>
      </c>
      <c r="G59" s="3576">
        <v>2006</v>
      </c>
      <c r="H59" s="2641">
        <v>3</v>
      </c>
      <c r="I59" s="2641">
        <v>0.92</v>
      </c>
      <c r="J59" s="2641">
        <v>1.08</v>
      </c>
      <c r="K59" s="2641">
        <v>0.73</v>
      </c>
      <c r="L59" s="2642">
        <v>1.08</v>
      </c>
      <c r="N59" s="2673">
        <f t="shared" si="133"/>
        <v>1.7587939698492462E-2</v>
      </c>
      <c r="O59" s="2674">
        <f t="shared" si="133"/>
        <v>1.1355750425840628E-2</v>
      </c>
      <c r="P59" s="2674">
        <f t="shared" si="134"/>
        <v>2.0862358446754544E-2</v>
      </c>
      <c r="Q59" s="2674">
        <f t="shared" si="134"/>
        <v>1.0132282578103011E-2</v>
      </c>
      <c r="R59" s="2627"/>
      <c r="S59" s="2625"/>
      <c r="T59" s="2626"/>
      <c r="U59" s="2626"/>
      <c r="V59" s="2626"/>
      <c r="X59" s="2675"/>
      <c r="Y59" s="2675"/>
      <c r="Z59" s="2675"/>
    </row>
    <row r="60" spans="1:26">
      <c r="A60" s="2617" t="s">
        <v>2609</v>
      </c>
      <c r="B60" s="2630">
        <f t="shared" si="135"/>
        <v>146.57412060301507</v>
      </c>
      <c r="C60" s="2630">
        <f t="shared" si="135"/>
        <v>136.46831955922866</v>
      </c>
      <c r="D60" s="2630">
        <f t="shared" si="109"/>
        <v>136.46831955922866</v>
      </c>
      <c r="E60" s="2630">
        <f t="shared" si="136"/>
        <v>166.73864894795128</v>
      </c>
      <c r="F60" s="2630">
        <f t="shared" si="136"/>
        <v>115.05882352941177</v>
      </c>
      <c r="G60" s="3576">
        <v>2006</v>
      </c>
      <c r="H60" s="2621">
        <v>2</v>
      </c>
      <c r="I60" s="2621">
        <v>0.96</v>
      </c>
      <c r="J60" s="2621">
        <v>0.25</v>
      </c>
      <c r="K60" s="2621">
        <v>1.9</v>
      </c>
      <c r="L60" s="2632">
        <v>0.95</v>
      </c>
      <c r="N60" s="2673">
        <f t="shared" si="133"/>
        <v>1.8352632728861701E-2</v>
      </c>
      <c r="O60" s="2674">
        <f t="shared" si="133"/>
        <v>2.6286459319075526E-3</v>
      </c>
      <c r="P60" s="2674">
        <f t="shared" si="134"/>
        <v>5.4299289107991269E-2</v>
      </c>
      <c r="Q60" s="2674">
        <f t="shared" si="134"/>
        <v>8.9126559714794995E-3</v>
      </c>
      <c r="R60" s="2627"/>
      <c r="S60" s="2625"/>
      <c r="T60" s="2626"/>
      <c r="U60" s="2626"/>
      <c r="V60" s="2626"/>
      <c r="X60" s="2675"/>
      <c r="Y60" s="2675"/>
      <c r="Z60" s="2675"/>
    </row>
    <row r="61" spans="1:26">
      <c r="A61" s="2617" t="s">
        <v>2610</v>
      </c>
      <c r="B61" s="2630">
        <f t="shared" si="135"/>
        <v>144.04145728643215</v>
      </c>
      <c r="C61" s="2630">
        <f t="shared" si="135"/>
        <v>136.12396694214877</v>
      </c>
      <c r="D61" s="2630">
        <f t="shared" si="109"/>
        <v>136.12396694214877</v>
      </c>
      <c r="E61" s="2630">
        <f t="shared" si="136"/>
        <v>158.32225913621264</v>
      </c>
      <c r="F61" s="2630">
        <f t="shared" si="136"/>
        <v>114.04278074866311</v>
      </c>
      <c r="G61" s="3577">
        <v>2006</v>
      </c>
      <c r="H61" s="2620">
        <v>1</v>
      </c>
      <c r="I61" s="2620">
        <v>2.29</v>
      </c>
      <c r="J61" s="2620">
        <v>3.72</v>
      </c>
      <c r="K61" s="2620">
        <v>0.75</v>
      </c>
      <c r="L61" s="2631">
        <v>0.04</v>
      </c>
      <c r="N61" s="2676">
        <f t="shared" si="133"/>
        <v>4.3778675988638847E-2</v>
      </c>
      <c r="O61" s="2677">
        <f t="shared" si="133"/>
        <v>3.9114251466784385E-2</v>
      </c>
      <c r="P61" s="2677">
        <f t="shared" si="134"/>
        <v>2.1433929911049188E-2</v>
      </c>
      <c r="Q61" s="2677">
        <f t="shared" si="134"/>
        <v>3.7526972511492629E-4</v>
      </c>
      <c r="R61" s="2627"/>
      <c r="S61" s="2633">
        <f>B61/B62-1</f>
        <v>4.3778675988638716E-2</v>
      </c>
      <c r="T61" s="2634">
        <f>C61/C62-1</f>
        <v>3.91142514667846E-2</v>
      </c>
      <c r="U61" s="2634">
        <f>E61/E62-1</f>
        <v>2.143392991104931E-2</v>
      </c>
      <c r="V61" s="2634">
        <f>F61/F62-1</f>
        <v>3.7526972511492396E-4</v>
      </c>
      <c r="X61" s="2675"/>
      <c r="Y61" s="2675"/>
      <c r="Z61" s="2675"/>
    </row>
    <row r="62" spans="1:26" ht="13.8" thickBot="1">
      <c r="A62" s="2617" t="s">
        <v>2611</v>
      </c>
      <c r="B62" s="2644">
        <v>138</v>
      </c>
      <c r="C62" s="2644">
        <v>131</v>
      </c>
      <c r="D62" s="2644">
        <f t="shared" si="109"/>
        <v>131</v>
      </c>
      <c r="E62" s="2644">
        <v>155</v>
      </c>
      <c r="F62" s="2645">
        <v>114</v>
      </c>
      <c r="G62" s="3575">
        <v>2005</v>
      </c>
      <c r="H62" s="2636">
        <v>4</v>
      </c>
      <c r="I62" s="2636">
        <v>3.29</v>
      </c>
      <c r="J62" s="2636">
        <v>1.44</v>
      </c>
      <c r="K62" s="2636">
        <v>0.66</v>
      </c>
      <c r="L62" s="2637">
        <v>7.78</v>
      </c>
      <c r="N62" s="2673">
        <f t="shared" ref="N62:O65" si="137">I62/SUM(I$62:I$65)*(B$62/B$66-1)</f>
        <v>9.9404603216919935E-2</v>
      </c>
      <c r="O62" s="2674">
        <f t="shared" si="137"/>
        <v>4.7636550760861554E-2</v>
      </c>
      <c r="P62" s="2674">
        <f t="shared" ref="P62:Q65" si="138">K62/SUM(K$62:K$65)*(E$62/E$66-1)</f>
        <v>8.3756345177664976E-2</v>
      </c>
      <c r="Q62" s="2674">
        <f t="shared" si="138"/>
        <v>5.2148766661559584E-2</v>
      </c>
      <c r="R62" s="2627"/>
      <c r="S62" s="2628"/>
      <c r="T62" s="2629"/>
      <c r="U62" s="2629"/>
      <c r="V62" s="2629"/>
      <c r="X62" s="2675"/>
      <c r="Y62" s="2675"/>
      <c r="Z62" s="2675"/>
    </row>
    <row r="63" spans="1:26">
      <c r="A63" s="2617" t="s">
        <v>2612</v>
      </c>
      <c r="B63" s="2630">
        <f t="shared" ref="B63:C65" si="139">B64+(B$62-B$66)*I63/SUM(I$62:I$65)</f>
        <v>125.9720430107527</v>
      </c>
      <c r="C63" s="2630">
        <f t="shared" si="139"/>
        <v>125.1883408071749</v>
      </c>
      <c r="D63" s="2630">
        <f t="shared" si="109"/>
        <v>125.1883408071749</v>
      </c>
      <c r="E63" s="2630">
        <f t="shared" ref="E63:F65" si="140">E64+(E$62-E$66)*K63/SUM(K$62:K$65)</f>
        <v>144.61421319796952</v>
      </c>
      <c r="F63" s="2630">
        <f t="shared" si="140"/>
        <v>108.42008196721311</v>
      </c>
      <c r="G63" s="3576">
        <v>2005</v>
      </c>
      <c r="H63" s="2641">
        <v>3</v>
      </c>
      <c r="I63" s="2641">
        <v>0.46</v>
      </c>
      <c r="J63" s="2641">
        <v>0.32</v>
      </c>
      <c r="K63" s="2641">
        <v>0.42</v>
      </c>
      <c r="L63" s="2642">
        <v>0.64</v>
      </c>
      <c r="N63" s="2673">
        <f t="shared" si="137"/>
        <v>1.3898515951301874E-2</v>
      </c>
      <c r="O63" s="2674">
        <f t="shared" si="137"/>
        <v>1.0585900169080346E-2</v>
      </c>
      <c r="P63" s="2674">
        <f t="shared" si="138"/>
        <v>5.3299492385786795E-2</v>
      </c>
      <c r="Q63" s="2674">
        <f t="shared" si="138"/>
        <v>4.2898728359123568E-3</v>
      </c>
      <c r="R63" s="2627"/>
      <c r="S63" s="2625"/>
      <c r="T63" s="2626"/>
      <c r="U63" s="2626"/>
      <c r="V63" s="2626"/>
      <c r="X63" s="2675"/>
      <c r="Y63" s="2675"/>
      <c r="Z63" s="2675"/>
    </row>
    <row r="64" spans="1:26">
      <c r="A64" s="2617" t="s">
        <v>2613</v>
      </c>
      <c r="B64" s="2630">
        <f t="shared" si="139"/>
        <v>124.29032258064517</v>
      </c>
      <c r="C64" s="2630">
        <f t="shared" si="139"/>
        <v>123.8968609865471</v>
      </c>
      <c r="D64" s="2630">
        <f t="shared" si="109"/>
        <v>123.8968609865471</v>
      </c>
      <c r="E64" s="2630">
        <f t="shared" si="140"/>
        <v>138.00507614213197</v>
      </c>
      <c r="F64" s="2630">
        <f t="shared" si="140"/>
        <v>107.96106557377048</v>
      </c>
      <c r="G64" s="3576">
        <v>2005</v>
      </c>
      <c r="H64" s="2621">
        <v>2</v>
      </c>
      <c r="I64" s="2621">
        <v>0.47</v>
      </c>
      <c r="J64" s="2621">
        <v>0.1</v>
      </c>
      <c r="K64" s="2621">
        <v>0.52</v>
      </c>
      <c r="L64" s="2632">
        <v>0.79</v>
      </c>
      <c r="N64" s="2673">
        <f t="shared" si="137"/>
        <v>1.420065760241713E-2</v>
      </c>
      <c r="O64" s="2674">
        <f t="shared" si="137"/>
        <v>3.3080938028376083E-3</v>
      </c>
      <c r="P64" s="2674">
        <f t="shared" si="138"/>
        <v>6.598984771573603E-2</v>
      </c>
      <c r="Q64" s="2674">
        <f t="shared" si="138"/>
        <v>5.2953117818293153E-3</v>
      </c>
      <c r="R64" s="2627"/>
      <c r="S64" s="2625"/>
      <c r="T64" s="2626"/>
      <c r="U64" s="2626"/>
      <c r="V64" s="2626"/>
      <c r="X64" s="2675"/>
      <c r="Y64" s="2675"/>
      <c r="Z64" s="2675"/>
    </row>
    <row r="65" spans="1:26">
      <c r="A65" s="2617" t="s">
        <v>2614</v>
      </c>
      <c r="B65" s="2630">
        <f t="shared" si="139"/>
        <v>122.57204301075269</v>
      </c>
      <c r="C65" s="2630">
        <f t="shared" si="139"/>
        <v>123.4932735426009</v>
      </c>
      <c r="D65" s="2630">
        <f t="shared" si="109"/>
        <v>123.4932735426009</v>
      </c>
      <c r="E65" s="2630">
        <f t="shared" si="140"/>
        <v>129.82233502538071</v>
      </c>
      <c r="F65" s="2630">
        <f t="shared" si="140"/>
        <v>107.39446721311475</v>
      </c>
      <c r="G65" s="3577">
        <v>2005</v>
      </c>
      <c r="H65" s="2620">
        <v>1</v>
      </c>
      <c r="I65" s="2620">
        <v>0.43</v>
      </c>
      <c r="J65" s="2620">
        <v>0.37</v>
      </c>
      <c r="K65" s="2620">
        <v>0.37</v>
      </c>
      <c r="L65" s="2631">
        <v>0.55000000000000004</v>
      </c>
      <c r="N65" s="2676">
        <f t="shared" si="137"/>
        <v>1.2992090997956099E-2</v>
      </c>
      <c r="O65" s="2677">
        <f t="shared" si="137"/>
        <v>1.2239947070499151E-2</v>
      </c>
      <c r="P65" s="2677">
        <f t="shared" si="138"/>
        <v>4.6954314720812178E-2</v>
      </c>
      <c r="Q65" s="2677">
        <f t="shared" si="138"/>
        <v>3.6866094683621815E-3</v>
      </c>
      <c r="R65" s="2627"/>
      <c r="S65" s="2633">
        <f>B65/B66-1</f>
        <v>1.2992090997956174E-2</v>
      </c>
      <c r="T65" s="2634">
        <f>C65/C66-1</f>
        <v>1.2239947070499246E-2</v>
      </c>
      <c r="U65" s="2634">
        <f>E65/E66-1</f>
        <v>4.695431472081224E-2</v>
      </c>
      <c r="V65" s="2634">
        <f>F65/F66-1</f>
        <v>3.6866094683620787E-3</v>
      </c>
      <c r="X65" s="2675"/>
      <c r="Y65" s="2675"/>
      <c r="Z65" s="2675"/>
    </row>
    <row r="66" spans="1:26" ht="13.8" thickBot="1">
      <c r="A66" s="2617" t="s">
        <v>2615</v>
      </c>
      <c r="B66" s="2660">
        <v>121</v>
      </c>
      <c r="C66" s="2660">
        <v>122</v>
      </c>
      <c r="D66" s="2660">
        <f t="shared" si="109"/>
        <v>122</v>
      </c>
      <c r="E66" s="2660">
        <v>124</v>
      </c>
      <c r="F66" s="2661">
        <v>107</v>
      </c>
      <c r="G66" s="3575">
        <v>2004</v>
      </c>
      <c r="H66" s="2636">
        <v>4</v>
      </c>
      <c r="I66" s="2636">
        <v>0.33</v>
      </c>
      <c r="J66" s="2636">
        <v>0.5</v>
      </c>
      <c r="K66" s="2636">
        <v>0.5</v>
      </c>
      <c r="L66" s="2637">
        <v>0</v>
      </c>
      <c r="N66" s="2673">
        <f t="shared" ref="N66:O69" si="141">I66/SUM(I$66:I$69)*(B$66/B$70-1)</f>
        <v>1.3391770148526898E-2</v>
      </c>
      <c r="O66" s="2674">
        <f t="shared" si="141"/>
        <v>1.063264221158958E-2</v>
      </c>
      <c r="P66" s="2674">
        <f t="shared" ref="P66:Q69" si="142">K66/SUM(K$66:K$69)*(E$66/E$70-1)</f>
        <v>2.2244466688911134E-2</v>
      </c>
      <c r="Q66" s="2674">
        <f t="shared" si="142"/>
        <v>0</v>
      </c>
      <c r="R66" s="2627"/>
      <c r="S66" s="2628"/>
      <c r="T66" s="2629"/>
      <c r="U66" s="2629"/>
      <c r="V66" s="2629"/>
      <c r="X66" s="2675"/>
      <c r="Y66" s="2675"/>
      <c r="Z66" s="2675"/>
    </row>
    <row r="67" spans="1:26">
      <c r="A67" s="2617" t="s">
        <v>2616</v>
      </c>
      <c r="B67" s="2630">
        <f t="shared" ref="B67:C69" si="143">B68+(B$66-B$70)*I67/SUM(I$66:I$69)</f>
        <v>119.51351351351352</v>
      </c>
      <c r="C67" s="2630">
        <f t="shared" si="143"/>
        <v>120.7878787878788</v>
      </c>
      <c r="D67" s="2630">
        <f t="shared" si="109"/>
        <v>120.7878787878788</v>
      </c>
      <c r="E67" s="2630">
        <f t="shared" ref="E67:F69" si="144">E68+(E$66-E$70)*K67/SUM(K$66:K$69)</f>
        <v>121.5975975975976</v>
      </c>
      <c r="F67" s="2630">
        <f t="shared" si="144"/>
        <v>107</v>
      </c>
      <c r="G67" s="3576">
        <v>2004</v>
      </c>
      <c r="H67" s="2641">
        <v>3</v>
      </c>
      <c r="I67" s="2641">
        <v>0.56000000000000005</v>
      </c>
      <c r="J67" s="2641">
        <v>0.8</v>
      </c>
      <c r="K67" s="2641">
        <v>0.83</v>
      </c>
      <c r="L67" s="2642">
        <v>0.06</v>
      </c>
      <c r="N67" s="2673">
        <f t="shared" si="141"/>
        <v>2.2725428130833527E-2</v>
      </c>
      <c r="O67" s="2674">
        <f t="shared" si="141"/>
        <v>1.7012227538543329E-2</v>
      </c>
      <c r="P67" s="2674">
        <f t="shared" si="142"/>
        <v>3.6925814703592477E-2</v>
      </c>
      <c r="Q67" s="2674">
        <f t="shared" si="142"/>
        <v>2.8846153846153744E-2</v>
      </c>
      <c r="R67" s="2627"/>
      <c r="S67" s="2625"/>
      <c r="T67" s="2626"/>
      <c r="U67" s="2626"/>
      <c r="V67" s="2626"/>
      <c r="X67" s="2675"/>
      <c r="Y67" s="2675"/>
      <c r="Z67" s="2675"/>
    </row>
    <row r="68" spans="1:26">
      <c r="A68" s="2617" t="s">
        <v>2617</v>
      </c>
      <c r="B68" s="2630">
        <f t="shared" si="143"/>
        <v>116.99099099099099</v>
      </c>
      <c r="C68" s="2630">
        <f t="shared" si="143"/>
        <v>118.84848484848486</v>
      </c>
      <c r="D68" s="2630">
        <f t="shared" si="109"/>
        <v>118.84848484848486</v>
      </c>
      <c r="E68" s="2630">
        <f t="shared" si="144"/>
        <v>117.60960960960961</v>
      </c>
      <c r="F68" s="2630">
        <f t="shared" si="144"/>
        <v>104</v>
      </c>
      <c r="G68" s="3576">
        <v>2004</v>
      </c>
      <c r="H68" s="2621">
        <v>2</v>
      </c>
      <c r="I68" s="2621">
        <v>1</v>
      </c>
      <c r="J68" s="2621">
        <v>1.5</v>
      </c>
      <c r="K68" s="2621">
        <v>1.5</v>
      </c>
      <c r="L68" s="2632">
        <v>0</v>
      </c>
      <c r="N68" s="2673">
        <f t="shared" si="141"/>
        <v>4.0581121662202721E-2</v>
      </c>
      <c r="O68" s="2674">
        <f t="shared" si="141"/>
        <v>3.1897926634768738E-2</v>
      </c>
      <c r="P68" s="2674">
        <f t="shared" si="142"/>
        <v>6.6733400066733395E-2</v>
      </c>
      <c r="Q68" s="2674">
        <f t="shared" si="142"/>
        <v>0</v>
      </c>
      <c r="R68" s="2627"/>
      <c r="S68" s="2625"/>
      <c r="T68" s="2626"/>
      <c r="U68" s="2626"/>
      <c r="V68" s="2626"/>
      <c r="X68" s="2675"/>
      <c r="Y68" s="2675"/>
      <c r="Z68" s="2675"/>
    </row>
    <row r="69" spans="1:26" s="2666" customFormat="1" ht="13.8" thickBot="1">
      <c r="A69" s="2617" t="s">
        <v>2618</v>
      </c>
      <c r="B69" s="2663">
        <f t="shared" si="143"/>
        <v>112.48648648648648</v>
      </c>
      <c r="C69" s="2663">
        <f t="shared" si="143"/>
        <v>115.21212121212122</v>
      </c>
      <c r="D69" s="2663">
        <f t="shared" si="109"/>
        <v>115.21212121212122</v>
      </c>
      <c r="E69" s="2663">
        <f t="shared" si="144"/>
        <v>110.4024024024024</v>
      </c>
      <c r="F69" s="2663">
        <f t="shared" si="144"/>
        <v>104</v>
      </c>
      <c r="G69" s="3577">
        <v>2004</v>
      </c>
      <c r="H69" s="2664">
        <v>1</v>
      </c>
      <c r="I69" s="2664">
        <v>0.33</v>
      </c>
      <c r="J69" s="2664">
        <v>0.5</v>
      </c>
      <c r="K69" s="2664">
        <v>0.5</v>
      </c>
      <c r="L69" s="2665">
        <v>0</v>
      </c>
      <c r="N69" s="2678">
        <f t="shared" si="141"/>
        <v>1.3391770148526898E-2</v>
      </c>
      <c r="O69" s="2679">
        <f t="shared" si="141"/>
        <v>1.063264221158958E-2</v>
      </c>
      <c r="P69" s="2679">
        <f t="shared" si="142"/>
        <v>2.2244466688911134E-2</v>
      </c>
      <c r="Q69" s="2679">
        <f t="shared" si="142"/>
        <v>0</v>
      </c>
      <c r="R69" s="2669"/>
      <c r="S69" s="2667">
        <f>B69/B70-1</f>
        <v>1.3391770148526883E-2</v>
      </c>
      <c r="T69" s="2668">
        <f>C69/C70-1</f>
        <v>1.063264221158966E-2</v>
      </c>
      <c r="U69" s="2668">
        <f>E69/E70-1</f>
        <v>2.2244466688911224E-2</v>
      </c>
      <c r="V69" s="2668">
        <f>F69/F70-1</f>
        <v>0</v>
      </c>
      <c r="X69" s="2680"/>
      <c r="Y69" s="2680"/>
      <c r="Z69" s="2680"/>
    </row>
    <row r="70" spans="1:26" ht="13.8" thickBot="1">
      <c r="A70" s="2617" t="s">
        <v>2619</v>
      </c>
      <c r="B70" s="2681">
        <v>111</v>
      </c>
      <c r="C70" s="2681">
        <v>114</v>
      </c>
      <c r="D70" s="2681">
        <f t="shared" si="109"/>
        <v>114</v>
      </c>
      <c r="E70" s="2681">
        <v>108</v>
      </c>
      <c r="F70" s="2682">
        <v>104</v>
      </c>
      <c r="G70" s="3575">
        <v>2003</v>
      </c>
      <c r="H70" s="2671">
        <v>4</v>
      </c>
      <c r="I70" s="2683"/>
      <c r="J70" s="2683"/>
      <c r="K70" s="2683"/>
      <c r="L70" s="2683"/>
      <c r="N70" s="2684"/>
      <c r="O70" s="2683"/>
      <c r="P70" s="2683"/>
      <c r="Q70" s="2683"/>
      <c r="S70" s="2684"/>
      <c r="T70" s="2683"/>
      <c r="U70" s="2683"/>
      <c r="V70" s="2683"/>
      <c r="X70" s="2675"/>
      <c r="Y70" s="2675"/>
      <c r="Z70" s="2675"/>
    </row>
    <row r="71" spans="1:26">
      <c r="A71" s="2617" t="s">
        <v>2620</v>
      </c>
      <c r="B71" s="2685">
        <f t="shared" ref="B71:C73" si="145">B72+(B$70-B$74)/4</f>
        <v>109.75</v>
      </c>
      <c r="C71" s="2685">
        <f t="shared" si="145"/>
        <v>112.25</v>
      </c>
      <c r="D71" s="2685">
        <f t="shared" si="109"/>
        <v>112.25</v>
      </c>
      <c r="E71" s="2685">
        <f t="shared" ref="E71:F73" si="146">E72+(E$70-E$74)/4</f>
        <v>107.25</v>
      </c>
      <c r="F71" s="2685">
        <f t="shared" si="146"/>
        <v>103.5</v>
      </c>
      <c r="G71" s="3576">
        <v>2003</v>
      </c>
      <c r="H71" s="2641">
        <v>3</v>
      </c>
      <c r="I71" s="2683"/>
      <c r="J71" s="2683"/>
      <c r="K71" s="2683"/>
      <c r="L71" s="2683"/>
      <c r="X71" s="2675"/>
      <c r="Y71" s="2675"/>
      <c r="Z71" s="2675"/>
    </row>
    <row r="72" spans="1:26">
      <c r="A72" s="2617" t="s">
        <v>2621</v>
      </c>
      <c r="B72" s="2685">
        <f t="shared" si="145"/>
        <v>108.5</v>
      </c>
      <c r="C72" s="2685">
        <f t="shared" si="145"/>
        <v>110.5</v>
      </c>
      <c r="D72" s="2685">
        <f t="shared" si="109"/>
        <v>110.5</v>
      </c>
      <c r="E72" s="2685">
        <f t="shared" si="146"/>
        <v>106.5</v>
      </c>
      <c r="F72" s="2685">
        <f t="shared" si="146"/>
        <v>103</v>
      </c>
      <c r="G72" s="3576">
        <v>2003</v>
      </c>
      <c r="H72" s="2621">
        <v>2</v>
      </c>
      <c r="I72" s="2683"/>
      <c r="J72" s="2683"/>
      <c r="K72" s="2683"/>
      <c r="L72" s="2683"/>
      <c r="X72" s="2675"/>
      <c r="Y72" s="2675"/>
      <c r="Z72" s="2675"/>
    </row>
    <row r="73" spans="1:26" ht="13.8" thickBot="1">
      <c r="A73" s="2617" t="s">
        <v>2622</v>
      </c>
      <c r="B73" s="2685">
        <f t="shared" si="145"/>
        <v>107.25</v>
      </c>
      <c r="C73" s="2685">
        <f t="shared" si="145"/>
        <v>108.75</v>
      </c>
      <c r="D73" s="2685">
        <f t="shared" si="109"/>
        <v>108.75</v>
      </c>
      <c r="E73" s="2685">
        <f t="shared" si="146"/>
        <v>105.75</v>
      </c>
      <c r="F73" s="2685">
        <f t="shared" si="146"/>
        <v>102.5</v>
      </c>
      <c r="G73" s="3577">
        <v>2003</v>
      </c>
      <c r="H73" s="2686">
        <v>1</v>
      </c>
      <c r="I73" s="2683"/>
      <c r="J73" s="2683"/>
      <c r="K73" s="2683"/>
      <c r="L73" s="2683"/>
      <c r="S73" s="2625"/>
      <c r="T73" s="2626"/>
      <c r="U73" s="2626"/>
      <c r="X73" s="2675"/>
      <c r="Y73" s="2675"/>
      <c r="Z73" s="2675"/>
    </row>
    <row r="74" spans="1:26" ht="13.8" thickBot="1">
      <c r="A74" s="2617" t="s">
        <v>2623</v>
      </c>
      <c r="B74" s="2687">
        <v>106</v>
      </c>
      <c r="C74" s="2687">
        <v>107</v>
      </c>
      <c r="D74" s="2687">
        <f t="shared" si="109"/>
        <v>107</v>
      </c>
      <c r="E74" s="2687">
        <v>105</v>
      </c>
      <c r="F74" s="2688">
        <v>102</v>
      </c>
      <c r="G74" s="3575">
        <v>2002</v>
      </c>
      <c r="H74" s="2636">
        <v>4</v>
      </c>
      <c r="I74" s="2683"/>
      <c r="J74" s="2683"/>
      <c r="K74" s="2683"/>
      <c r="L74" s="2683"/>
      <c r="N74" s="2684"/>
      <c r="O74" s="2683"/>
      <c r="P74" s="2683"/>
      <c r="Q74" s="2683"/>
      <c r="S74" s="2684"/>
      <c r="T74" s="2683"/>
      <c r="U74" s="2683"/>
      <c r="V74" s="2683"/>
      <c r="X74" s="2675"/>
      <c r="Y74" s="2675"/>
      <c r="Z74" s="2675"/>
    </row>
    <row r="75" spans="1:26">
      <c r="A75" s="2617" t="s">
        <v>2624</v>
      </c>
      <c r="B75" s="2685">
        <f t="shared" ref="B75:C77" si="147">B76+(B$74-B$78)/4</f>
        <v>105</v>
      </c>
      <c r="C75" s="2685">
        <f t="shared" si="147"/>
        <v>106</v>
      </c>
      <c r="D75" s="2685">
        <f t="shared" si="109"/>
        <v>106</v>
      </c>
      <c r="E75" s="2685">
        <f t="shared" ref="E75:F77" si="148">E76+(E$74-E$78)/4</f>
        <v>104.5</v>
      </c>
      <c r="F75" s="2685">
        <f t="shared" si="148"/>
        <v>101.5</v>
      </c>
      <c r="G75" s="3576">
        <v>2002</v>
      </c>
      <c r="H75" s="2641">
        <v>3</v>
      </c>
      <c r="I75" s="2683"/>
      <c r="J75" s="2683"/>
      <c r="K75" s="2683"/>
      <c r="L75" s="2683"/>
      <c r="X75" s="2675"/>
      <c r="Y75" s="2675"/>
      <c r="Z75" s="2675"/>
    </row>
    <row r="76" spans="1:26">
      <c r="A76" s="2617" t="s">
        <v>2625</v>
      </c>
      <c r="B76" s="2685">
        <f t="shared" si="147"/>
        <v>104</v>
      </c>
      <c r="C76" s="2685">
        <f t="shared" si="147"/>
        <v>105</v>
      </c>
      <c r="D76" s="2685">
        <f t="shared" si="109"/>
        <v>105</v>
      </c>
      <c r="E76" s="2685">
        <f t="shared" si="148"/>
        <v>104</v>
      </c>
      <c r="F76" s="2685">
        <f t="shared" si="148"/>
        <v>101</v>
      </c>
      <c r="G76" s="3576">
        <v>2002</v>
      </c>
      <c r="H76" s="2621">
        <v>2</v>
      </c>
      <c r="I76" s="2683"/>
      <c r="J76" s="2683"/>
      <c r="K76" s="2683"/>
      <c r="L76" s="2683"/>
      <c r="X76" s="2675"/>
      <c r="Y76" s="2675"/>
      <c r="Z76" s="2675"/>
    </row>
    <row r="77" spans="1:26" s="2652" customFormat="1" ht="13.8" thickBot="1">
      <c r="A77" s="2648" t="s">
        <v>2626</v>
      </c>
      <c r="B77" s="2689">
        <f t="shared" si="147"/>
        <v>103</v>
      </c>
      <c r="C77" s="2689">
        <f t="shared" si="147"/>
        <v>104</v>
      </c>
      <c r="D77" s="2689">
        <f t="shared" si="109"/>
        <v>104</v>
      </c>
      <c r="E77" s="2689">
        <f t="shared" si="148"/>
        <v>103.5</v>
      </c>
      <c r="F77" s="2689">
        <f t="shared" si="148"/>
        <v>100.5</v>
      </c>
      <c r="G77" s="3577">
        <v>2002</v>
      </c>
      <c r="H77" s="2690">
        <v>1</v>
      </c>
      <c r="I77" s="2691"/>
      <c r="J77" s="2691"/>
      <c r="K77" s="2691"/>
      <c r="L77" s="2691"/>
      <c r="N77" s="2692"/>
      <c r="S77" s="2692"/>
      <c r="X77" s="2693"/>
      <c r="Y77" s="2693"/>
      <c r="Z77" s="2693"/>
    </row>
    <row r="78" spans="1:26" ht="13.8" thickBot="1">
      <c r="B78" s="2694">
        <v>102</v>
      </c>
      <c r="C78" s="2695">
        <v>103</v>
      </c>
      <c r="D78" s="2695">
        <f t="shared" si="109"/>
        <v>103</v>
      </c>
      <c r="E78" s="2695">
        <v>103</v>
      </c>
      <c r="F78" s="2696">
        <v>100</v>
      </c>
      <c r="I78" s="2683"/>
      <c r="J78" s="2683"/>
      <c r="K78" s="2683"/>
      <c r="L78" s="2683"/>
      <c r="N78" s="2684"/>
      <c r="O78" s="2683"/>
      <c r="P78" s="2683"/>
      <c r="Q78" s="2683"/>
      <c r="S78" s="2684"/>
      <c r="T78" s="2683"/>
      <c r="U78" s="2683"/>
      <c r="V78" s="2683"/>
      <c r="X78" s="2629"/>
      <c r="Y78" s="2629"/>
      <c r="Z78" s="2629"/>
    </row>
    <row r="80" spans="1:26" s="2698" customFormat="1">
      <c r="A80" s="2697" t="s">
        <v>2627</v>
      </c>
      <c r="G80" s="2699"/>
      <c r="N80" s="2699"/>
      <c r="S80" s="2699"/>
    </row>
    <row r="81" spans="1:22" s="2698" customFormat="1">
      <c r="A81" s="2698" t="s">
        <v>2628</v>
      </c>
      <c r="G81" s="2699"/>
      <c r="N81" s="2699"/>
      <c r="S81" s="2699"/>
    </row>
    <row r="82" spans="1:22" s="2698" customFormat="1">
      <c r="A82" s="2698" t="s">
        <v>2629</v>
      </c>
      <c r="G82" s="2699"/>
      <c r="I82" s="2700"/>
      <c r="J82" s="2700"/>
      <c r="K82" s="2700"/>
      <c r="L82" s="2700"/>
      <c r="N82" s="2701"/>
      <c r="O82" s="2700"/>
      <c r="P82" s="2700"/>
      <c r="Q82" s="2700"/>
      <c r="S82" s="2701"/>
      <c r="T82" s="2700"/>
      <c r="U82" s="2700"/>
      <c r="V82" s="2700"/>
    </row>
    <row r="83" spans="1:22" s="2698" customFormat="1">
      <c r="A83" s="2698" t="s">
        <v>2630</v>
      </c>
      <c r="G83" s="2699"/>
      <c r="N83" s="2699"/>
      <c r="S83" s="2699"/>
    </row>
    <row r="90" spans="1:22" ht="13.8" thickBot="1"/>
    <row r="91" spans="1:22">
      <c r="G91" s="2624"/>
      <c r="S91" s="2702" t="s">
        <v>2631</v>
      </c>
      <c r="T91" s="2703" t="s">
        <v>2632</v>
      </c>
      <c r="U91" s="2703" t="s">
        <v>2633</v>
      </c>
      <c r="V91" s="2703" t="s">
        <v>2634</v>
      </c>
    </row>
    <row r="92" spans="1:22">
      <c r="G92" s="2624"/>
      <c r="N92" s="2628"/>
      <c r="O92" s="2629"/>
      <c r="P92" s="2629"/>
      <c r="Q92" s="2629"/>
      <c r="S92" s="2704">
        <v>2006</v>
      </c>
      <c r="T92" s="2705">
        <v>15.1</v>
      </c>
      <c r="U92" s="2705">
        <v>7.43</v>
      </c>
      <c r="V92" s="2705">
        <v>26.26</v>
      </c>
    </row>
    <row r="93" spans="1:22">
      <c r="G93" s="2624"/>
      <c r="N93" s="2628"/>
      <c r="O93" s="2629"/>
      <c r="P93" s="2629"/>
      <c r="Q93" s="2629"/>
      <c r="S93" s="2707">
        <v>2005</v>
      </c>
      <c r="T93" s="2706">
        <v>13.9</v>
      </c>
      <c r="U93" s="2706">
        <v>7.49</v>
      </c>
      <c r="V93" s="2706">
        <v>24.92</v>
      </c>
    </row>
    <row r="94" spans="1:22">
      <c r="G94" s="2624"/>
      <c r="N94" s="2628"/>
      <c r="O94" s="2629"/>
      <c r="P94" s="2629"/>
      <c r="Q94" s="2629"/>
      <c r="S94" s="2704">
        <v>2004</v>
      </c>
      <c r="T94" s="2705">
        <v>9.48</v>
      </c>
      <c r="U94" s="2705">
        <v>7.2</v>
      </c>
      <c r="V94" s="2705">
        <v>14.68</v>
      </c>
    </row>
    <row r="95" spans="1:22">
      <c r="G95" s="2624"/>
      <c r="N95" s="2628"/>
      <c r="O95" s="2629"/>
      <c r="P95" s="2629"/>
      <c r="Q95" s="2629"/>
      <c r="S95" s="2707">
        <v>2003</v>
      </c>
      <c r="T95" s="2706">
        <v>4.5</v>
      </c>
      <c r="U95" s="2706">
        <v>6.12</v>
      </c>
      <c r="V95" s="2706">
        <v>2.34</v>
      </c>
    </row>
    <row r="96" spans="1:22" ht="13.8" thickBot="1">
      <c r="G96" s="2624"/>
      <c r="N96" s="2628"/>
      <c r="O96" s="2629"/>
      <c r="P96" s="2629"/>
      <c r="Q96" s="2629"/>
      <c r="S96" s="2708">
        <v>2002</v>
      </c>
      <c r="T96" s="2709">
        <v>3.59</v>
      </c>
      <c r="U96" s="2709">
        <v>4.54</v>
      </c>
      <c r="V96" s="2709">
        <v>2.5499999999999998</v>
      </c>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row>
    <row r="106" spans="7:19">
      <c r="G106" s="2624"/>
      <c r="N106" s="2628"/>
      <c r="O106" s="2629"/>
      <c r="P106" s="2629"/>
      <c r="Q106" s="2629"/>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row r="111" spans="7:19">
      <c r="G111" s="2624"/>
      <c r="N111" s="2628"/>
      <c r="O111" s="2629"/>
      <c r="P111" s="2629"/>
      <c r="Q111" s="2629"/>
      <c r="S111" s="2624"/>
    </row>
    <row r="112" spans="7:19">
      <c r="G112" s="2624"/>
      <c r="N112" s="2628"/>
      <c r="O112" s="2629"/>
      <c r="P112" s="2629"/>
      <c r="Q112" s="2629"/>
      <c r="S112" s="2624"/>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33"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F14"/>
  <sheetViews>
    <sheetView workbookViewId="0">
      <selection activeCell="H19" sqref="H19"/>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0" t="s">
        <v>2942</v>
      </c>
      <c r="B1" s="3052"/>
      <c r="C1" s="3052"/>
      <c r="D1" s="3052"/>
      <c r="E1" s="3052"/>
      <c r="F1" s="3052"/>
    </row>
    <row r="2" spans="1:6" ht="15.6">
      <c r="A2" s="3053" t="s">
        <v>2937</v>
      </c>
      <c r="B2" s="3054" t="e">
        <f ca="1">SUMIF(B7:B14,"&lt;&gt;#ref!",B7:B14)</f>
        <v>#DIV/0!</v>
      </c>
      <c r="C2" s="3053" t="s">
        <v>2938</v>
      </c>
      <c r="D2" s="3052"/>
      <c r="E2" s="3052"/>
      <c r="F2" s="3052"/>
    </row>
    <row r="3" spans="1:6" ht="15.6">
      <c r="A3" s="3053" t="s">
        <v>2970</v>
      </c>
      <c r="B3" s="3054" t="e">
        <f ca="1">ROUND(B2*10000/E3,0)</f>
        <v>#DIV/0!</v>
      </c>
      <c r="C3" s="3053" t="s">
        <v>2075</v>
      </c>
      <c r="D3" s="3053" t="s">
        <v>2939</v>
      </c>
      <c r="E3" s="3054">
        <f ca="1">SUMIF(E7:E14,"&lt;&gt;#ref!",E7:E14)</f>
        <v>0</v>
      </c>
      <c r="F3" s="3052"/>
    </row>
    <row r="4" spans="1:6" ht="15.6">
      <c r="A4" s="3053" t="s">
        <v>2946</v>
      </c>
      <c r="B4" s="3054" t="e">
        <f ca="1">ROUND(B2*10000/E4,0)</f>
        <v>#DIV/0!</v>
      </c>
      <c r="C4" s="3053" t="s">
        <v>2075</v>
      </c>
      <c r="D4" s="3053" t="s">
        <v>2947</v>
      </c>
      <c r="E4" s="3054">
        <f ca="1">SUMIF(F7:F14,"&lt;&gt;#ref!",F7:F14)</f>
        <v>0</v>
      </c>
      <c r="F4" s="3052"/>
    </row>
    <row r="5" spans="1:6" ht="15.6">
      <c r="A5" s="3055"/>
      <c r="B5" s="1864"/>
      <c r="C5" s="1864"/>
      <c r="D5" s="1864"/>
      <c r="E5" s="1864"/>
      <c r="F5" s="3052"/>
    </row>
    <row r="6" spans="1:6" ht="31.2">
      <c r="A6" s="3056" t="s">
        <v>2943</v>
      </c>
      <c r="B6" s="3053" t="s">
        <v>2940</v>
      </c>
      <c r="C6" s="3054"/>
      <c r="D6" s="1864"/>
      <c r="E6" s="3053" t="s">
        <v>2941</v>
      </c>
      <c r="F6" s="3053" t="s">
        <v>2945</v>
      </c>
    </row>
    <row r="7" spans="1:6" ht="15.6">
      <c r="A7" s="260" t="s">
        <v>2944</v>
      </c>
      <c r="B7" s="3057" t="e">
        <f ca="1">SUMIF(INDIRECT("'"&amp;A7&amp;"'"&amp;"!A:A"),"总价",INDIRECT("'"&amp;A7&amp;"'"&amp;"!B:B"))</f>
        <v>#DIV/0!</v>
      </c>
      <c r="C7" s="3053" t="s">
        <v>2938</v>
      </c>
      <c r="D7" s="1864"/>
      <c r="E7" s="3058">
        <f ca="1">SUMIF(INDIRECT("'"&amp;A7&amp;"'"&amp;"!C:C"),"建筑面积",INDIRECT("'"&amp;A7&amp;"'"&amp;"!D:D"))</f>
        <v>0</v>
      </c>
      <c r="F7" s="3058">
        <f ca="1">SUMIF(INDIRECT("'"&amp;A7&amp;"'"&amp;"!E:E"),"土地面积",INDIRECT("'"&amp;A7&amp;"'"&amp;"!F:F"))</f>
        <v>0</v>
      </c>
    </row>
    <row r="8" spans="1:6" ht="15.6">
      <c r="A8" s="260"/>
      <c r="B8" s="3057" t="e">
        <f t="shared" ref="B8:B14" ca="1" si="0">SUMIF(INDIRECT("'"&amp;A8&amp;"'"&amp;"!A:A"),"总价",INDIRECT("'"&amp;A8&amp;"'"&amp;"!B:B"))</f>
        <v>#REF!</v>
      </c>
      <c r="C8" s="3053" t="s">
        <v>2938</v>
      </c>
      <c r="D8" s="1864"/>
      <c r="E8" s="3058" t="e">
        <f t="shared" ref="E8:E14" ca="1" si="1">SUMIF(INDIRECT("'"&amp;A8&amp;"'"&amp;"!C:C"),"建筑面积",INDIRECT("'"&amp;A8&amp;"'"&amp;"!D:D"))</f>
        <v>#REF!</v>
      </c>
      <c r="F8" s="3058" t="e">
        <f t="shared" ref="F8:F14" ca="1" si="2">SUMIF(INDIRECT("'"&amp;A8&amp;"'"&amp;"!E:E"),"土地面积",INDIRECT("'"&amp;A8&amp;"'"&amp;"!F:F"))</f>
        <v>#REF!</v>
      </c>
    </row>
    <row r="9" spans="1:6" ht="15.6">
      <c r="A9" s="260"/>
      <c r="B9" s="3057" t="e">
        <f t="shared" ca="1" si="0"/>
        <v>#REF!</v>
      </c>
      <c r="C9" s="3053" t="s">
        <v>2938</v>
      </c>
      <c r="D9" s="1864"/>
      <c r="E9" s="3058" t="e">
        <f t="shared" ca="1" si="1"/>
        <v>#REF!</v>
      </c>
      <c r="F9" s="3058" t="e">
        <f t="shared" ca="1" si="2"/>
        <v>#REF!</v>
      </c>
    </row>
    <row r="10" spans="1:6" ht="15.6">
      <c r="A10" s="260"/>
      <c r="B10" s="3057" t="e">
        <f t="shared" ca="1" si="0"/>
        <v>#REF!</v>
      </c>
      <c r="C10" s="3053" t="s">
        <v>2938</v>
      </c>
      <c r="D10" s="1864"/>
      <c r="E10" s="3058" t="e">
        <f t="shared" ca="1" si="1"/>
        <v>#REF!</v>
      </c>
      <c r="F10" s="3058" t="e">
        <f t="shared" ca="1" si="2"/>
        <v>#REF!</v>
      </c>
    </row>
    <row r="11" spans="1:6" ht="15.6">
      <c r="A11" s="260"/>
      <c r="B11" s="3057" t="e">
        <f t="shared" ca="1" si="0"/>
        <v>#REF!</v>
      </c>
      <c r="C11" s="3053" t="s">
        <v>2938</v>
      </c>
      <c r="D11" s="1864"/>
      <c r="E11" s="3058" t="e">
        <f t="shared" ca="1" si="1"/>
        <v>#REF!</v>
      </c>
      <c r="F11" s="3058" t="e">
        <f t="shared" ca="1" si="2"/>
        <v>#REF!</v>
      </c>
    </row>
    <row r="12" spans="1:6" ht="15.6">
      <c r="A12" s="260"/>
      <c r="B12" s="3057" t="e">
        <f t="shared" ca="1" si="0"/>
        <v>#REF!</v>
      </c>
      <c r="C12" s="3053" t="s">
        <v>2938</v>
      </c>
      <c r="D12" s="1864"/>
      <c r="E12" s="3058" t="e">
        <f t="shared" ca="1" si="1"/>
        <v>#REF!</v>
      </c>
      <c r="F12" s="3058" t="e">
        <f t="shared" ca="1" si="2"/>
        <v>#REF!</v>
      </c>
    </row>
    <row r="13" spans="1:6" ht="15.6">
      <c r="A13" s="260"/>
      <c r="B13" s="3057" t="e">
        <f t="shared" ca="1" si="0"/>
        <v>#REF!</v>
      </c>
      <c r="C13" s="3053" t="s">
        <v>2938</v>
      </c>
      <c r="D13" s="1864"/>
      <c r="E13" s="3058" t="e">
        <f t="shared" ca="1" si="1"/>
        <v>#REF!</v>
      </c>
      <c r="F13" s="3058" t="e">
        <f t="shared" ca="1" si="2"/>
        <v>#REF!</v>
      </c>
    </row>
    <row r="14" spans="1:6" ht="15.6">
      <c r="A14" s="3051"/>
      <c r="B14" s="3057" t="e">
        <f t="shared" ca="1" si="0"/>
        <v>#REF!</v>
      </c>
      <c r="C14" s="3053" t="s">
        <v>2938</v>
      </c>
      <c r="D14" s="1864"/>
      <c r="E14" s="3058" t="e">
        <f t="shared" ca="1" si="1"/>
        <v>#REF!</v>
      </c>
      <c r="F14" s="3058" t="e">
        <f t="shared" ca="1" si="2"/>
        <v>#REF!</v>
      </c>
    </row>
  </sheetData>
  <sheetProtection password="C66D" sheet="1" objects="1" scenarios="1"/>
  <phoneticPr fontId="233"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autoPageBreaks="0" fitToPage="1"/>
  </sheetPr>
  <dimension ref="A1:O35"/>
  <sheetViews>
    <sheetView topLeftCell="A46" zoomScale="80" zoomScaleNormal="80" workbookViewId="0">
      <selection activeCell="K72" sqref="K72"/>
    </sheetView>
  </sheetViews>
  <sheetFormatPr defaultRowHeight="13.2"/>
  <cols>
    <col min="1" max="1" width="54.77734375" style="3179" customWidth="1"/>
    <col min="2" max="2" width="7.109375" style="3179" customWidth="1"/>
    <col min="3" max="3" width="15.44140625" style="3179" customWidth="1"/>
    <col min="4" max="4" width="11" style="3179" customWidth="1"/>
    <col min="5" max="5" width="10.44140625" style="3179" customWidth="1"/>
    <col min="6" max="6" width="21.88671875" style="3270" customWidth="1"/>
    <col min="7" max="7" width="9" style="3179" customWidth="1"/>
    <col min="8" max="8" width="10.21875" style="3179" customWidth="1"/>
    <col min="9" max="10" width="12.109375" style="3179" customWidth="1"/>
    <col min="11" max="11" width="9.44140625" style="3179" customWidth="1"/>
    <col min="12" max="12" width="7.109375" style="3179" customWidth="1"/>
    <col min="13" max="13" width="36.6640625" style="3179" customWidth="1"/>
    <col min="14" max="14" width="9" style="3179" customWidth="1"/>
    <col min="15" max="256" width="8.88671875" style="3179"/>
    <col min="257" max="257" width="79.109375" style="3179" customWidth="1"/>
    <col min="258" max="258" width="7.109375" style="3179" customWidth="1"/>
    <col min="259" max="261" width="15.88671875" style="3179" customWidth="1"/>
    <col min="262" max="262" width="21.88671875" style="3179" customWidth="1"/>
    <col min="263" max="263" width="9" style="3179" customWidth="1"/>
    <col min="264" max="264" width="10.21875" style="3179" customWidth="1"/>
    <col min="265" max="266" width="12.109375" style="3179" customWidth="1"/>
    <col min="267" max="267" width="16.33203125" style="3179" customWidth="1"/>
    <col min="268" max="268" width="7.109375" style="3179" customWidth="1"/>
    <col min="269" max="269" width="36.6640625" style="3179" customWidth="1"/>
    <col min="270" max="270" width="9" style="3179" customWidth="1"/>
    <col min="271" max="512" width="8.88671875" style="3179"/>
    <col min="513" max="513" width="79.109375" style="3179" customWidth="1"/>
    <col min="514" max="514" width="7.109375" style="3179" customWidth="1"/>
    <col min="515" max="517" width="15.88671875" style="3179" customWidth="1"/>
    <col min="518" max="518" width="21.88671875" style="3179" customWidth="1"/>
    <col min="519" max="519" width="9" style="3179" customWidth="1"/>
    <col min="520" max="520" width="10.21875" style="3179" customWidth="1"/>
    <col min="521" max="522" width="12.109375" style="3179" customWidth="1"/>
    <col min="523" max="523" width="16.33203125" style="3179" customWidth="1"/>
    <col min="524" max="524" width="7.109375" style="3179" customWidth="1"/>
    <col min="525" max="525" width="36.6640625" style="3179" customWidth="1"/>
    <col min="526" max="526" width="9" style="3179" customWidth="1"/>
    <col min="527" max="768" width="8.88671875" style="3179"/>
    <col min="769" max="769" width="79.109375" style="3179" customWidth="1"/>
    <col min="770" max="770" width="7.109375" style="3179" customWidth="1"/>
    <col min="771" max="773" width="15.88671875" style="3179" customWidth="1"/>
    <col min="774" max="774" width="21.88671875" style="3179" customWidth="1"/>
    <col min="775" max="775" width="9" style="3179" customWidth="1"/>
    <col min="776" max="776" width="10.21875" style="3179" customWidth="1"/>
    <col min="777" max="778" width="12.109375" style="3179" customWidth="1"/>
    <col min="779" max="779" width="16.33203125" style="3179" customWidth="1"/>
    <col min="780" max="780" width="7.109375" style="3179" customWidth="1"/>
    <col min="781" max="781" width="36.6640625" style="3179" customWidth="1"/>
    <col min="782" max="782" width="9" style="3179" customWidth="1"/>
    <col min="783" max="1024" width="8.88671875" style="3179"/>
    <col min="1025" max="1025" width="79.109375" style="3179" customWidth="1"/>
    <col min="1026" max="1026" width="7.109375" style="3179" customWidth="1"/>
    <col min="1027" max="1029" width="15.88671875" style="3179" customWidth="1"/>
    <col min="1030" max="1030" width="21.88671875" style="3179" customWidth="1"/>
    <col min="1031" max="1031" width="9" style="3179" customWidth="1"/>
    <col min="1032" max="1032" width="10.21875" style="3179" customWidth="1"/>
    <col min="1033" max="1034" width="12.109375" style="3179" customWidth="1"/>
    <col min="1035" max="1035" width="16.33203125" style="3179" customWidth="1"/>
    <col min="1036" max="1036" width="7.109375" style="3179" customWidth="1"/>
    <col min="1037" max="1037" width="36.6640625" style="3179" customWidth="1"/>
    <col min="1038" max="1038" width="9" style="3179" customWidth="1"/>
    <col min="1039" max="1280" width="8.88671875" style="3179"/>
    <col min="1281" max="1281" width="79.109375" style="3179" customWidth="1"/>
    <col min="1282" max="1282" width="7.109375" style="3179" customWidth="1"/>
    <col min="1283" max="1285" width="15.88671875" style="3179" customWidth="1"/>
    <col min="1286" max="1286" width="21.88671875" style="3179" customWidth="1"/>
    <col min="1287" max="1287" width="9" style="3179" customWidth="1"/>
    <col min="1288" max="1288" width="10.21875" style="3179" customWidth="1"/>
    <col min="1289" max="1290" width="12.109375" style="3179" customWidth="1"/>
    <col min="1291" max="1291" width="16.33203125" style="3179" customWidth="1"/>
    <col min="1292" max="1292" width="7.109375" style="3179" customWidth="1"/>
    <col min="1293" max="1293" width="36.6640625" style="3179" customWidth="1"/>
    <col min="1294" max="1294" width="9" style="3179" customWidth="1"/>
    <col min="1295" max="1536" width="8.88671875" style="3179"/>
    <col min="1537" max="1537" width="79.109375" style="3179" customWidth="1"/>
    <col min="1538" max="1538" width="7.109375" style="3179" customWidth="1"/>
    <col min="1539" max="1541" width="15.88671875" style="3179" customWidth="1"/>
    <col min="1542" max="1542" width="21.88671875" style="3179" customWidth="1"/>
    <col min="1543" max="1543" width="9" style="3179" customWidth="1"/>
    <col min="1544" max="1544" width="10.21875" style="3179" customWidth="1"/>
    <col min="1545" max="1546" width="12.109375" style="3179" customWidth="1"/>
    <col min="1547" max="1547" width="16.33203125" style="3179" customWidth="1"/>
    <col min="1548" max="1548" width="7.109375" style="3179" customWidth="1"/>
    <col min="1549" max="1549" width="36.6640625" style="3179" customWidth="1"/>
    <col min="1550" max="1550" width="9" style="3179" customWidth="1"/>
    <col min="1551" max="1792" width="8.88671875" style="3179"/>
    <col min="1793" max="1793" width="79.109375" style="3179" customWidth="1"/>
    <col min="1794" max="1794" width="7.109375" style="3179" customWidth="1"/>
    <col min="1795" max="1797" width="15.88671875" style="3179" customWidth="1"/>
    <col min="1798" max="1798" width="21.88671875" style="3179" customWidth="1"/>
    <col min="1799" max="1799" width="9" style="3179" customWidth="1"/>
    <col min="1800" max="1800" width="10.21875" style="3179" customWidth="1"/>
    <col min="1801" max="1802" width="12.109375" style="3179" customWidth="1"/>
    <col min="1803" max="1803" width="16.33203125" style="3179" customWidth="1"/>
    <col min="1804" max="1804" width="7.109375" style="3179" customWidth="1"/>
    <col min="1805" max="1805" width="36.6640625" style="3179" customWidth="1"/>
    <col min="1806" max="1806" width="9" style="3179" customWidth="1"/>
    <col min="1807" max="2048" width="8.88671875" style="3179"/>
    <col min="2049" max="2049" width="79.109375" style="3179" customWidth="1"/>
    <col min="2050" max="2050" width="7.109375" style="3179" customWidth="1"/>
    <col min="2051" max="2053" width="15.88671875" style="3179" customWidth="1"/>
    <col min="2054" max="2054" width="21.88671875" style="3179" customWidth="1"/>
    <col min="2055" max="2055" width="9" style="3179" customWidth="1"/>
    <col min="2056" max="2056" width="10.21875" style="3179" customWidth="1"/>
    <col min="2057" max="2058" width="12.109375" style="3179" customWidth="1"/>
    <col min="2059" max="2059" width="16.33203125" style="3179" customWidth="1"/>
    <col min="2060" max="2060" width="7.109375" style="3179" customWidth="1"/>
    <col min="2061" max="2061" width="36.6640625" style="3179" customWidth="1"/>
    <col min="2062" max="2062" width="9" style="3179" customWidth="1"/>
    <col min="2063" max="2304" width="8.88671875" style="3179"/>
    <col min="2305" max="2305" width="79.109375" style="3179" customWidth="1"/>
    <col min="2306" max="2306" width="7.109375" style="3179" customWidth="1"/>
    <col min="2307" max="2309" width="15.88671875" style="3179" customWidth="1"/>
    <col min="2310" max="2310" width="21.88671875" style="3179" customWidth="1"/>
    <col min="2311" max="2311" width="9" style="3179" customWidth="1"/>
    <col min="2312" max="2312" width="10.21875" style="3179" customWidth="1"/>
    <col min="2313" max="2314" width="12.109375" style="3179" customWidth="1"/>
    <col min="2315" max="2315" width="16.33203125" style="3179" customWidth="1"/>
    <col min="2316" max="2316" width="7.109375" style="3179" customWidth="1"/>
    <col min="2317" max="2317" width="36.6640625" style="3179" customWidth="1"/>
    <col min="2318" max="2318" width="9" style="3179" customWidth="1"/>
    <col min="2319" max="2560" width="8.88671875" style="3179"/>
    <col min="2561" max="2561" width="79.109375" style="3179" customWidth="1"/>
    <col min="2562" max="2562" width="7.109375" style="3179" customWidth="1"/>
    <col min="2563" max="2565" width="15.88671875" style="3179" customWidth="1"/>
    <col min="2566" max="2566" width="21.88671875" style="3179" customWidth="1"/>
    <col min="2567" max="2567" width="9" style="3179" customWidth="1"/>
    <col min="2568" max="2568" width="10.21875" style="3179" customWidth="1"/>
    <col min="2569" max="2570" width="12.109375" style="3179" customWidth="1"/>
    <col min="2571" max="2571" width="16.33203125" style="3179" customWidth="1"/>
    <col min="2572" max="2572" width="7.109375" style="3179" customWidth="1"/>
    <col min="2573" max="2573" width="36.6640625" style="3179" customWidth="1"/>
    <col min="2574" max="2574" width="9" style="3179" customWidth="1"/>
    <col min="2575" max="2816" width="8.88671875" style="3179"/>
    <col min="2817" max="2817" width="79.109375" style="3179" customWidth="1"/>
    <col min="2818" max="2818" width="7.109375" style="3179" customWidth="1"/>
    <col min="2819" max="2821" width="15.88671875" style="3179" customWidth="1"/>
    <col min="2822" max="2822" width="21.88671875" style="3179" customWidth="1"/>
    <col min="2823" max="2823" width="9" style="3179" customWidth="1"/>
    <col min="2824" max="2824" width="10.21875" style="3179" customWidth="1"/>
    <col min="2825" max="2826" width="12.109375" style="3179" customWidth="1"/>
    <col min="2827" max="2827" width="16.33203125" style="3179" customWidth="1"/>
    <col min="2828" max="2828" width="7.109375" style="3179" customWidth="1"/>
    <col min="2829" max="2829" width="36.6640625" style="3179" customWidth="1"/>
    <col min="2830" max="2830" width="9" style="3179" customWidth="1"/>
    <col min="2831" max="3072" width="8.88671875" style="3179"/>
    <col min="3073" max="3073" width="79.109375" style="3179" customWidth="1"/>
    <col min="3074" max="3074" width="7.109375" style="3179" customWidth="1"/>
    <col min="3075" max="3077" width="15.88671875" style="3179" customWidth="1"/>
    <col min="3078" max="3078" width="21.88671875" style="3179" customWidth="1"/>
    <col min="3079" max="3079" width="9" style="3179" customWidth="1"/>
    <col min="3080" max="3080" width="10.21875" style="3179" customWidth="1"/>
    <col min="3081" max="3082" width="12.109375" style="3179" customWidth="1"/>
    <col min="3083" max="3083" width="16.33203125" style="3179" customWidth="1"/>
    <col min="3084" max="3084" width="7.109375" style="3179" customWidth="1"/>
    <col min="3085" max="3085" width="36.6640625" style="3179" customWidth="1"/>
    <col min="3086" max="3086" width="9" style="3179" customWidth="1"/>
    <col min="3087" max="3328" width="8.88671875" style="3179"/>
    <col min="3329" max="3329" width="79.109375" style="3179" customWidth="1"/>
    <col min="3330" max="3330" width="7.109375" style="3179" customWidth="1"/>
    <col min="3331" max="3333" width="15.88671875" style="3179" customWidth="1"/>
    <col min="3334" max="3334" width="21.88671875" style="3179" customWidth="1"/>
    <col min="3335" max="3335" width="9" style="3179" customWidth="1"/>
    <col min="3336" max="3336" width="10.21875" style="3179" customWidth="1"/>
    <col min="3337" max="3338" width="12.109375" style="3179" customWidth="1"/>
    <col min="3339" max="3339" width="16.33203125" style="3179" customWidth="1"/>
    <col min="3340" max="3340" width="7.109375" style="3179" customWidth="1"/>
    <col min="3341" max="3341" width="36.6640625" style="3179" customWidth="1"/>
    <col min="3342" max="3342" width="9" style="3179" customWidth="1"/>
    <col min="3343" max="3584" width="8.88671875" style="3179"/>
    <col min="3585" max="3585" width="79.109375" style="3179" customWidth="1"/>
    <col min="3586" max="3586" width="7.109375" style="3179" customWidth="1"/>
    <col min="3587" max="3589" width="15.88671875" style="3179" customWidth="1"/>
    <col min="3590" max="3590" width="21.88671875" style="3179" customWidth="1"/>
    <col min="3591" max="3591" width="9" style="3179" customWidth="1"/>
    <col min="3592" max="3592" width="10.21875" style="3179" customWidth="1"/>
    <col min="3593" max="3594" width="12.109375" style="3179" customWidth="1"/>
    <col min="3595" max="3595" width="16.33203125" style="3179" customWidth="1"/>
    <col min="3596" max="3596" width="7.109375" style="3179" customWidth="1"/>
    <col min="3597" max="3597" width="36.6640625" style="3179" customWidth="1"/>
    <col min="3598" max="3598" width="9" style="3179" customWidth="1"/>
    <col min="3599" max="3840" width="8.88671875" style="3179"/>
    <col min="3841" max="3841" width="79.109375" style="3179" customWidth="1"/>
    <col min="3842" max="3842" width="7.109375" style="3179" customWidth="1"/>
    <col min="3843" max="3845" width="15.88671875" style="3179" customWidth="1"/>
    <col min="3846" max="3846" width="21.88671875" style="3179" customWidth="1"/>
    <col min="3847" max="3847" width="9" style="3179" customWidth="1"/>
    <col min="3848" max="3848" width="10.21875" style="3179" customWidth="1"/>
    <col min="3849" max="3850" width="12.109375" style="3179" customWidth="1"/>
    <col min="3851" max="3851" width="16.33203125" style="3179" customWidth="1"/>
    <col min="3852" max="3852" width="7.109375" style="3179" customWidth="1"/>
    <col min="3853" max="3853" width="36.6640625" style="3179" customWidth="1"/>
    <col min="3854" max="3854" width="9" style="3179" customWidth="1"/>
    <col min="3855" max="4096" width="8.88671875" style="3179"/>
    <col min="4097" max="4097" width="79.109375" style="3179" customWidth="1"/>
    <col min="4098" max="4098" width="7.109375" style="3179" customWidth="1"/>
    <col min="4099" max="4101" width="15.88671875" style="3179" customWidth="1"/>
    <col min="4102" max="4102" width="21.88671875" style="3179" customWidth="1"/>
    <col min="4103" max="4103" width="9" style="3179" customWidth="1"/>
    <col min="4104" max="4104" width="10.21875" style="3179" customWidth="1"/>
    <col min="4105" max="4106" width="12.109375" style="3179" customWidth="1"/>
    <col min="4107" max="4107" width="16.33203125" style="3179" customWidth="1"/>
    <col min="4108" max="4108" width="7.109375" style="3179" customWidth="1"/>
    <col min="4109" max="4109" width="36.6640625" style="3179" customWidth="1"/>
    <col min="4110" max="4110" width="9" style="3179" customWidth="1"/>
    <col min="4111" max="4352" width="8.88671875" style="3179"/>
    <col min="4353" max="4353" width="79.109375" style="3179" customWidth="1"/>
    <col min="4354" max="4354" width="7.109375" style="3179" customWidth="1"/>
    <col min="4355" max="4357" width="15.88671875" style="3179" customWidth="1"/>
    <col min="4358" max="4358" width="21.88671875" style="3179" customWidth="1"/>
    <col min="4359" max="4359" width="9" style="3179" customWidth="1"/>
    <col min="4360" max="4360" width="10.21875" style="3179" customWidth="1"/>
    <col min="4361" max="4362" width="12.109375" style="3179" customWidth="1"/>
    <col min="4363" max="4363" width="16.33203125" style="3179" customWidth="1"/>
    <col min="4364" max="4364" width="7.109375" style="3179" customWidth="1"/>
    <col min="4365" max="4365" width="36.6640625" style="3179" customWidth="1"/>
    <col min="4366" max="4366" width="9" style="3179" customWidth="1"/>
    <col min="4367" max="4608" width="8.88671875" style="3179"/>
    <col min="4609" max="4609" width="79.109375" style="3179" customWidth="1"/>
    <col min="4610" max="4610" width="7.109375" style="3179" customWidth="1"/>
    <col min="4611" max="4613" width="15.88671875" style="3179" customWidth="1"/>
    <col min="4614" max="4614" width="21.88671875" style="3179" customWidth="1"/>
    <col min="4615" max="4615" width="9" style="3179" customWidth="1"/>
    <col min="4616" max="4616" width="10.21875" style="3179" customWidth="1"/>
    <col min="4617" max="4618" width="12.109375" style="3179" customWidth="1"/>
    <col min="4619" max="4619" width="16.33203125" style="3179" customWidth="1"/>
    <col min="4620" max="4620" width="7.109375" style="3179" customWidth="1"/>
    <col min="4621" max="4621" width="36.6640625" style="3179" customWidth="1"/>
    <col min="4622" max="4622" width="9" style="3179" customWidth="1"/>
    <col min="4623" max="4864" width="8.88671875" style="3179"/>
    <col min="4865" max="4865" width="79.109375" style="3179" customWidth="1"/>
    <col min="4866" max="4866" width="7.109375" style="3179" customWidth="1"/>
    <col min="4867" max="4869" width="15.88671875" style="3179" customWidth="1"/>
    <col min="4870" max="4870" width="21.88671875" style="3179" customWidth="1"/>
    <col min="4871" max="4871" width="9" style="3179" customWidth="1"/>
    <col min="4872" max="4872" width="10.21875" style="3179" customWidth="1"/>
    <col min="4873" max="4874" width="12.109375" style="3179" customWidth="1"/>
    <col min="4875" max="4875" width="16.33203125" style="3179" customWidth="1"/>
    <col min="4876" max="4876" width="7.109375" style="3179" customWidth="1"/>
    <col min="4877" max="4877" width="36.6640625" style="3179" customWidth="1"/>
    <col min="4878" max="4878" width="9" style="3179" customWidth="1"/>
    <col min="4879" max="5120" width="8.88671875" style="3179"/>
    <col min="5121" max="5121" width="79.109375" style="3179" customWidth="1"/>
    <col min="5122" max="5122" width="7.109375" style="3179" customWidth="1"/>
    <col min="5123" max="5125" width="15.88671875" style="3179" customWidth="1"/>
    <col min="5126" max="5126" width="21.88671875" style="3179" customWidth="1"/>
    <col min="5127" max="5127" width="9" style="3179" customWidth="1"/>
    <col min="5128" max="5128" width="10.21875" style="3179" customWidth="1"/>
    <col min="5129" max="5130" width="12.109375" style="3179" customWidth="1"/>
    <col min="5131" max="5131" width="16.33203125" style="3179" customWidth="1"/>
    <col min="5132" max="5132" width="7.109375" style="3179" customWidth="1"/>
    <col min="5133" max="5133" width="36.6640625" style="3179" customWidth="1"/>
    <col min="5134" max="5134" width="9" style="3179" customWidth="1"/>
    <col min="5135" max="5376" width="8.88671875" style="3179"/>
    <col min="5377" max="5377" width="79.109375" style="3179" customWidth="1"/>
    <col min="5378" max="5378" width="7.109375" style="3179" customWidth="1"/>
    <col min="5379" max="5381" width="15.88671875" style="3179" customWidth="1"/>
    <col min="5382" max="5382" width="21.88671875" style="3179" customWidth="1"/>
    <col min="5383" max="5383" width="9" style="3179" customWidth="1"/>
    <col min="5384" max="5384" width="10.21875" style="3179" customWidth="1"/>
    <col min="5385" max="5386" width="12.109375" style="3179" customWidth="1"/>
    <col min="5387" max="5387" width="16.33203125" style="3179" customWidth="1"/>
    <col min="5388" max="5388" width="7.109375" style="3179" customWidth="1"/>
    <col min="5389" max="5389" width="36.6640625" style="3179" customWidth="1"/>
    <col min="5390" max="5390" width="9" style="3179" customWidth="1"/>
    <col min="5391" max="5632" width="8.88671875" style="3179"/>
    <col min="5633" max="5633" width="79.109375" style="3179" customWidth="1"/>
    <col min="5634" max="5634" width="7.109375" style="3179" customWidth="1"/>
    <col min="5635" max="5637" width="15.88671875" style="3179" customWidth="1"/>
    <col min="5638" max="5638" width="21.88671875" style="3179" customWidth="1"/>
    <col min="5639" max="5639" width="9" style="3179" customWidth="1"/>
    <col min="5640" max="5640" width="10.21875" style="3179" customWidth="1"/>
    <col min="5641" max="5642" width="12.109375" style="3179" customWidth="1"/>
    <col min="5643" max="5643" width="16.33203125" style="3179" customWidth="1"/>
    <col min="5644" max="5644" width="7.109375" style="3179" customWidth="1"/>
    <col min="5645" max="5645" width="36.6640625" style="3179" customWidth="1"/>
    <col min="5646" max="5646" width="9" style="3179" customWidth="1"/>
    <col min="5647" max="5888" width="8.88671875" style="3179"/>
    <col min="5889" max="5889" width="79.109375" style="3179" customWidth="1"/>
    <col min="5890" max="5890" width="7.109375" style="3179" customWidth="1"/>
    <col min="5891" max="5893" width="15.88671875" style="3179" customWidth="1"/>
    <col min="5894" max="5894" width="21.88671875" style="3179" customWidth="1"/>
    <col min="5895" max="5895" width="9" style="3179" customWidth="1"/>
    <col min="5896" max="5896" width="10.21875" style="3179" customWidth="1"/>
    <col min="5897" max="5898" width="12.109375" style="3179" customWidth="1"/>
    <col min="5899" max="5899" width="16.33203125" style="3179" customWidth="1"/>
    <col min="5900" max="5900" width="7.109375" style="3179" customWidth="1"/>
    <col min="5901" max="5901" width="36.6640625" style="3179" customWidth="1"/>
    <col min="5902" max="5902" width="9" style="3179" customWidth="1"/>
    <col min="5903" max="6144" width="8.88671875" style="3179"/>
    <col min="6145" max="6145" width="79.109375" style="3179" customWidth="1"/>
    <col min="6146" max="6146" width="7.109375" style="3179" customWidth="1"/>
    <col min="6147" max="6149" width="15.88671875" style="3179" customWidth="1"/>
    <col min="6150" max="6150" width="21.88671875" style="3179" customWidth="1"/>
    <col min="6151" max="6151" width="9" style="3179" customWidth="1"/>
    <col min="6152" max="6152" width="10.21875" style="3179" customWidth="1"/>
    <col min="6153" max="6154" width="12.109375" style="3179" customWidth="1"/>
    <col min="6155" max="6155" width="16.33203125" style="3179" customWidth="1"/>
    <col min="6156" max="6156" width="7.109375" style="3179" customWidth="1"/>
    <col min="6157" max="6157" width="36.6640625" style="3179" customWidth="1"/>
    <col min="6158" max="6158" width="9" style="3179" customWidth="1"/>
    <col min="6159" max="6400" width="8.88671875" style="3179"/>
    <col min="6401" max="6401" width="79.109375" style="3179" customWidth="1"/>
    <col min="6402" max="6402" width="7.109375" style="3179" customWidth="1"/>
    <col min="6403" max="6405" width="15.88671875" style="3179" customWidth="1"/>
    <col min="6406" max="6406" width="21.88671875" style="3179" customWidth="1"/>
    <col min="6407" max="6407" width="9" style="3179" customWidth="1"/>
    <col min="6408" max="6408" width="10.21875" style="3179" customWidth="1"/>
    <col min="6409" max="6410" width="12.109375" style="3179" customWidth="1"/>
    <col min="6411" max="6411" width="16.33203125" style="3179" customWidth="1"/>
    <col min="6412" max="6412" width="7.109375" style="3179" customWidth="1"/>
    <col min="6413" max="6413" width="36.6640625" style="3179" customWidth="1"/>
    <col min="6414" max="6414" width="9" style="3179" customWidth="1"/>
    <col min="6415" max="6656" width="8.88671875" style="3179"/>
    <col min="6657" max="6657" width="79.109375" style="3179" customWidth="1"/>
    <col min="6658" max="6658" width="7.109375" style="3179" customWidth="1"/>
    <col min="6659" max="6661" width="15.88671875" style="3179" customWidth="1"/>
    <col min="6662" max="6662" width="21.88671875" style="3179" customWidth="1"/>
    <col min="6663" max="6663" width="9" style="3179" customWidth="1"/>
    <col min="6664" max="6664" width="10.21875" style="3179" customWidth="1"/>
    <col min="6665" max="6666" width="12.109375" style="3179" customWidth="1"/>
    <col min="6667" max="6667" width="16.33203125" style="3179" customWidth="1"/>
    <col min="6668" max="6668" width="7.109375" style="3179" customWidth="1"/>
    <col min="6669" max="6669" width="36.6640625" style="3179" customWidth="1"/>
    <col min="6670" max="6670" width="9" style="3179" customWidth="1"/>
    <col min="6671" max="6912" width="8.88671875" style="3179"/>
    <col min="6913" max="6913" width="79.109375" style="3179" customWidth="1"/>
    <col min="6914" max="6914" width="7.109375" style="3179" customWidth="1"/>
    <col min="6915" max="6917" width="15.88671875" style="3179" customWidth="1"/>
    <col min="6918" max="6918" width="21.88671875" style="3179" customWidth="1"/>
    <col min="6919" max="6919" width="9" style="3179" customWidth="1"/>
    <col min="6920" max="6920" width="10.21875" style="3179" customWidth="1"/>
    <col min="6921" max="6922" width="12.109375" style="3179" customWidth="1"/>
    <col min="6923" max="6923" width="16.33203125" style="3179" customWidth="1"/>
    <col min="6924" max="6924" width="7.109375" style="3179" customWidth="1"/>
    <col min="6925" max="6925" width="36.6640625" style="3179" customWidth="1"/>
    <col min="6926" max="6926" width="9" style="3179" customWidth="1"/>
    <col min="6927" max="7168" width="8.88671875" style="3179"/>
    <col min="7169" max="7169" width="79.109375" style="3179" customWidth="1"/>
    <col min="7170" max="7170" width="7.109375" style="3179" customWidth="1"/>
    <col min="7171" max="7173" width="15.88671875" style="3179" customWidth="1"/>
    <col min="7174" max="7174" width="21.88671875" style="3179" customWidth="1"/>
    <col min="7175" max="7175" width="9" style="3179" customWidth="1"/>
    <col min="7176" max="7176" width="10.21875" style="3179" customWidth="1"/>
    <col min="7177" max="7178" width="12.109375" style="3179" customWidth="1"/>
    <col min="7179" max="7179" width="16.33203125" style="3179" customWidth="1"/>
    <col min="7180" max="7180" width="7.109375" style="3179" customWidth="1"/>
    <col min="7181" max="7181" width="36.6640625" style="3179" customWidth="1"/>
    <col min="7182" max="7182" width="9" style="3179" customWidth="1"/>
    <col min="7183" max="7424" width="8.88671875" style="3179"/>
    <col min="7425" max="7425" width="79.109375" style="3179" customWidth="1"/>
    <col min="7426" max="7426" width="7.109375" style="3179" customWidth="1"/>
    <col min="7427" max="7429" width="15.88671875" style="3179" customWidth="1"/>
    <col min="7430" max="7430" width="21.88671875" style="3179" customWidth="1"/>
    <col min="7431" max="7431" width="9" style="3179" customWidth="1"/>
    <col min="7432" max="7432" width="10.21875" style="3179" customWidth="1"/>
    <col min="7433" max="7434" width="12.109375" style="3179" customWidth="1"/>
    <col min="7435" max="7435" width="16.33203125" style="3179" customWidth="1"/>
    <col min="7436" max="7436" width="7.109375" style="3179" customWidth="1"/>
    <col min="7437" max="7437" width="36.6640625" style="3179" customWidth="1"/>
    <col min="7438" max="7438" width="9" style="3179" customWidth="1"/>
    <col min="7439" max="7680" width="8.88671875" style="3179"/>
    <col min="7681" max="7681" width="79.109375" style="3179" customWidth="1"/>
    <col min="7682" max="7682" width="7.109375" style="3179" customWidth="1"/>
    <col min="7683" max="7685" width="15.88671875" style="3179" customWidth="1"/>
    <col min="7686" max="7686" width="21.88671875" style="3179" customWidth="1"/>
    <col min="7687" max="7687" width="9" style="3179" customWidth="1"/>
    <col min="7688" max="7688" width="10.21875" style="3179" customWidth="1"/>
    <col min="7689" max="7690" width="12.109375" style="3179" customWidth="1"/>
    <col min="7691" max="7691" width="16.33203125" style="3179" customWidth="1"/>
    <col min="7692" max="7692" width="7.109375" style="3179" customWidth="1"/>
    <col min="7693" max="7693" width="36.6640625" style="3179" customWidth="1"/>
    <col min="7694" max="7694" width="9" style="3179" customWidth="1"/>
    <col min="7695" max="7936" width="8.88671875" style="3179"/>
    <col min="7937" max="7937" width="79.109375" style="3179" customWidth="1"/>
    <col min="7938" max="7938" width="7.109375" style="3179" customWidth="1"/>
    <col min="7939" max="7941" width="15.88671875" style="3179" customWidth="1"/>
    <col min="7942" max="7942" width="21.88671875" style="3179" customWidth="1"/>
    <col min="7943" max="7943" width="9" style="3179" customWidth="1"/>
    <col min="7944" max="7944" width="10.21875" style="3179" customWidth="1"/>
    <col min="7945" max="7946" width="12.109375" style="3179" customWidth="1"/>
    <col min="7947" max="7947" width="16.33203125" style="3179" customWidth="1"/>
    <col min="7948" max="7948" width="7.109375" style="3179" customWidth="1"/>
    <col min="7949" max="7949" width="36.6640625" style="3179" customWidth="1"/>
    <col min="7950" max="7950" width="9" style="3179" customWidth="1"/>
    <col min="7951" max="8192" width="8.88671875" style="3179"/>
    <col min="8193" max="8193" width="79.109375" style="3179" customWidth="1"/>
    <col min="8194" max="8194" width="7.109375" style="3179" customWidth="1"/>
    <col min="8195" max="8197" width="15.88671875" style="3179" customWidth="1"/>
    <col min="8198" max="8198" width="21.88671875" style="3179" customWidth="1"/>
    <col min="8199" max="8199" width="9" style="3179" customWidth="1"/>
    <col min="8200" max="8200" width="10.21875" style="3179" customWidth="1"/>
    <col min="8201" max="8202" width="12.109375" style="3179" customWidth="1"/>
    <col min="8203" max="8203" width="16.33203125" style="3179" customWidth="1"/>
    <col min="8204" max="8204" width="7.109375" style="3179" customWidth="1"/>
    <col min="8205" max="8205" width="36.6640625" style="3179" customWidth="1"/>
    <col min="8206" max="8206" width="9" style="3179" customWidth="1"/>
    <col min="8207" max="8448" width="8.88671875" style="3179"/>
    <col min="8449" max="8449" width="79.109375" style="3179" customWidth="1"/>
    <col min="8450" max="8450" width="7.109375" style="3179" customWidth="1"/>
    <col min="8451" max="8453" width="15.88671875" style="3179" customWidth="1"/>
    <col min="8454" max="8454" width="21.88671875" style="3179" customWidth="1"/>
    <col min="8455" max="8455" width="9" style="3179" customWidth="1"/>
    <col min="8456" max="8456" width="10.21875" style="3179" customWidth="1"/>
    <col min="8457" max="8458" width="12.109375" style="3179" customWidth="1"/>
    <col min="8459" max="8459" width="16.33203125" style="3179" customWidth="1"/>
    <col min="8460" max="8460" width="7.109375" style="3179" customWidth="1"/>
    <col min="8461" max="8461" width="36.6640625" style="3179" customWidth="1"/>
    <col min="8462" max="8462" width="9" style="3179" customWidth="1"/>
    <col min="8463" max="8704" width="8.88671875" style="3179"/>
    <col min="8705" max="8705" width="79.109375" style="3179" customWidth="1"/>
    <col min="8706" max="8706" width="7.109375" style="3179" customWidth="1"/>
    <col min="8707" max="8709" width="15.88671875" style="3179" customWidth="1"/>
    <col min="8710" max="8710" width="21.88671875" style="3179" customWidth="1"/>
    <col min="8711" max="8711" width="9" style="3179" customWidth="1"/>
    <col min="8712" max="8712" width="10.21875" style="3179" customWidth="1"/>
    <col min="8713" max="8714" width="12.109375" style="3179" customWidth="1"/>
    <col min="8715" max="8715" width="16.33203125" style="3179" customWidth="1"/>
    <col min="8716" max="8716" width="7.109375" style="3179" customWidth="1"/>
    <col min="8717" max="8717" width="36.6640625" style="3179" customWidth="1"/>
    <col min="8718" max="8718" width="9" style="3179" customWidth="1"/>
    <col min="8719" max="8960" width="8.88671875" style="3179"/>
    <col min="8961" max="8961" width="79.109375" style="3179" customWidth="1"/>
    <col min="8962" max="8962" width="7.109375" style="3179" customWidth="1"/>
    <col min="8963" max="8965" width="15.88671875" style="3179" customWidth="1"/>
    <col min="8966" max="8966" width="21.88671875" style="3179" customWidth="1"/>
    <col min="8967" max="8967" width="9" style="3179" customWidth="1"/>
    <col min="8968" max="8968" width="10.21875" style="3179" customWidth="1"/>
    <col min="8969" max="8970" width="12.109375" style="3179" customWidth="1"/>
    <col min="8971" max="8971" width="16.33203125" style="3179" customWidth="1"/>
    <col min="8972" max="8972" width="7.109375" style="3179" customWidth="1"/>
    <col min="8973" max="8973" width="36.6640625" style="3179" customWidth="1"/>
    <col min="8974" max="8974" width="9" style="3179" customWidth="1"/>
    <col min="8975" max="9216" width="8.88671875" style="3179"/>
    <col min="9217" max="9217" width="79.109375" style="3179" customWidth="1"/>
    <col min="9218" max="9218" width="7.109375" style="3179" customWidth="1"/>
    <col min="9219" max="9221" width="15.88671875" style="3179" customWidth="1"/>
    <col min="9222" max="9222" width="21.88671875" style="3179" customWidth="1"/>
    <col min="9223" max="9223" width="9" style="3179" customWidth="1"/>
    <col min="9224" max="9224" width="10.21875" style="3179" customWidth="1"/>
    <col min="9225" max="9226" width="12.109375" style="3179" customWidth="1"/>
    <col min="9227" max="9227" width="16.33203125" style="3179" customWidth="1"/>
    <col min="9228" max="9228" width="7.109375" style="3179" customWidth="1"/>
    <col min="9229" max="9229" width="36.6640625" style="3179" customWidth="1"/>
    <col min="9230" max="9230" width="9" style="3179" customWidth="1"/>
    <col min="9231" max="9472" width="8.88671875" style="3179"/>
    <col min="9473" max="9473" width="79.109375" style="3179" customWidth="1"/>
    <col min="9474" max="9474" width="7.109375" style="3179" customWidth="1"/>
    <col min="9475" max="9477" width="15.88671875" style="3179" customWidth="1"/>
    <col min="9478" max="9478" width="21.88671875" style="3179" customWidth="1"/>
    <col min="9479" max="9479" width="9" style="3179" customWidth="1"/>
    <col min="9480" max="9480" width="10.21875" style="3179" customWidth="1"/>
    <col min="9481" max="9482" width="12.109375" style="3179" customWidth="1"/>
    <col min="9483" max="9483" width="16.33203125" style="3179" customWidth="1"/>
    <col min="9484" max="9484" width="7.109375" style="3179" customWidth="1"/>
    <col min="9485" max="9485" width="36.6640625" style="3179" customWidth="1"/>
    <col min="9486" max="9486" width="9" style="3179" customWidth="1"/>
    <col min="9487" max="9728" width="8.88671875" style="3179"/>
    <col min="9729" max="9729" width="79.109375" style="3179" customWidth="1"/>
    <col min="9730" max="9730" width="7.109375" style="3179" customWidth="1"/>
    <col min="9731" max="9733" width="15.88671875" style="3179" customWidth="1"/>
    <col min="9734" max="9734" width="21.88671875" style="3179" customWidth="1"/>
    <col min="9735" max="9735" width="9" style="3179" customWidth="1"/>
    <col min="9736" max="9736" width="10.21875" style="3179" customWidth="1"/>
    <col min="9737" max="9738" width="12.109375" style="3179" customWidth="1"/>
    <col min="9739" max="9739" width="16.33203125" style="3179" customWidth="1"/>
    <col min="9740" max="9740" width="7.109375" style="3179" customWidth="1"/>
    <col min="9741" max="9741" width="36.6640625" style="3179" customWidth="1"/>
    <col min="9742" max="9742" width="9" style="3179" customWidth="1"/>
    <col min="9743" max="9984" width="8.88671875" style="3179"/>
    <col min="9985" max="9985" width="79.109375" style="3179" customWidth="1"/>
    <col min="9986" max="9986" width="7.109375" style="3179" customWidth="1"/>
    <col min="9987" max="9989" width="15.88671875" style="3179" customWidth="1"/>
    <col min="9990" max="9990" width="21.88671875" style="3179" customWidth="1"/>
    <col min="9991" max="9991" width="9" style="3179" customWidth="1"/>
    <col min="9992" max="9992" width="10.21875" style="3179" customWidth="1"/>
    <col min="9993" max="9994" width="12.109375" style="3179" customWidth="1"/>
    <col min="9995" max="9995" width="16.33203125" style="3179" customWidth="1"/>
    <col min="9996" max="9996" width="7.109375" style="3179" customWidth="1"/>
    <col min="9997" max="9997" width="36.6640625" style="3179" customWidth="1"/>
    <col min="9998" max="9998" width="9" style="3179" customWidth="1"/>
    <col min="9999" max="10240" width="8.88671875" style="3179"/>
    <col min="10241" max="10241" width="79.109375" style="3179" customWidth="1"/>
    <col min="10242" max="10242" width="7.109375" style="3179" customWidth="1"/>
    <col min="10243" max="10245" width="15.88671875" style="3179" customWidth="1"/>
    <col min="10246" max="10246" width="21.88671875" style="3179" customWidth="1"/>
    <col min="10247" max="10247" width="9" style="3179" customWidth="1"/>
    <col min="10248" max="10248" width="10.21875" style="3179" customWidth="1"/>
    <col min="10249" max="10250" width="12.109375" style="3179" customWidth="1"/>
    <col min="10251" max="10251" width="16.33203125" style="3179" customWidth="1"/>
    <col min="10252" max="10252" width="7.109375" style="3179" customWidth="1"/>
    <col min="10253" max="10253" width="36.6640625" style="3179" customWidth="1"/>
    <col min="10254" max="10254" width="9" style="3179" customWidth="1"/>
    <col min="10255" max="10496" width="8.88671875" style="3179"/>
    <col min="10497" max="10497" width="79.109375" style="3179" customWidth="1"/>
    <col min="10498" max="10498" width="7.109375" style="3179" customWidth="1"/>
    <col min="10499" max="10501" width="15.88671875" style="3179" customWidth="1"/>
    <col min="10502" max="10502" width="21.88671875" style="3179" customWidth="1"/>
    <col min="10503" max="10503" width="9" style="3179" customWidth="1"/>
    <col min="10504" max="10504" width="10.21875" style="3179" customWidth="1"/>
    <col min="10505" max="10506" width="12.109375" style="3179" customWidth="1"/>
    <col min="10507" max="10507" width="16.33203125" style="3179" customWidth="1"/>
    <col min="10508" max="10508" width="7.109375" style="3179" customWidth="1"/>
    <col min="10509" max="10509" width="36.6640625" style="3179" customWidth="1"/>
    <col min="10510" max="10510" width="9" style="3179" customWidth="1"/>
    <col min="10511" max="10752" width="8.88671875" style="3179"/>
    <col min="10753" max="10753" width="79.109375" style="3179" customWidth="1"/>
    <col min="10754" max="10754" width="7.109375" style="3179" customWidth="1"/>
    <col min="10755" max="10757" width="15.88671875" style="3179" customWidth="1"/>
    <col min="10758" max="10758" width="21.88671875" style="3179" customWidth="1"/>
    <col min="10759" max="10759" width="9" style="3179" customWidth="1"/>
    <col min="10760" max="10760" width="10.21875" style="3179" customWidth="1"/>
    <col min="10761" max="10762" width="12.109375" style="3179" customWidth="1"/>
    <col min="10763" max="10763" width="16.33203125" style="3179" customWidth="1"/>
    <col min="10764" max="10764" width="7.109375" style="3179" customWidth="1"/>
    <col min="10765" max="10765" width="36.6640625" style="3179" customWidth="1"/>
    <col min="10766" max="10766" width="9" style="3179" customWidth="1"/>
    <col min="10767" max="11008" width="8.88671875" style="3179"/>
    <col min="11009" max="11009" width="79.109375" style="3179" customWidth="1"/>
    <col min="11010" max="11010" width="7.109375" style="3179" customWidth="1"/>
    <col min="11011" max="11013" width="15.88671875" style="3179" customWidth="1"/>
    <col min="11014" max="11014" width="21.88671875" style="3179" customWidth="1"/>
    <col min="11015" max="11015" width="9" style="3179" customWidth="1"/>
    <col min="11016" max="11016" width="10.21875" style="3179" customWidth="1"/>
    <col min="11017" max="11018" width="12.109375" style="3179" customWidth="1"/>
    <col min="11019" max="11019" width="16.33203125" style="3179" customWidth="1"/>
    <col min="11020" max="11020" width="7.109375" style="3179" customWidth="1"/>
    <col min="11021" max="11021" width="36.6640625" style="3179" customWidth="1"/>
    <col min="11022" max="11022" width="9" style="3179" customWidth="1"/>
    <col min="11023" max="11264" width="8.88671875" style="3179"/>
    <col min="11265" max="11265" width="79.109375" style="3179" customWidth="1"/>
    <col min="11266" max="11266" width="7.109375" style="3179" customWidth="1"/>
    <col min="11267" max="11269" width="15.88671875" style="3179" customWidth="1"/>
    <col min="11270" max="11270" width="21.88671875" style="3179" customWidth="1"/>
    <col min="11271" max="11271" width="9" style="3179" customWidth="1"/>
    <col min="11272" max="11272" width="10.21875" style="3179" customWidth="1"/>
    <col min="11273" max="11274" width="12.109375" style="3179" customWidth="1"/>
    <col min="11275" max="11275" width="16.33203125" style="3179" customWidth="1"/>
    <col min="11276" max="11276" width="7.109375" style="3179" customWidth="1"/>
    <col min="11277" max="11277" width="36.6640625" style="3179" customWidth="1"/>
    <col min="11278" max="11278" width="9" style="3179" customWidth="1"/>
    <col min="11279" max="11520" width="8.88671875" style="3179"/>
    <col min="11521" max="11521" width="79.109375" style="3179" customWidth="1"/>
    <col min="11522" max="11522" width="7.109375" style="3179" customWidth="1"/>
    <col min="11523" max="11525" width="15.88671875" style="3179" customWidth="1"/>
    <col min="11526" max="11526" width="21.88671875" style="3179" customWidth="1"/>
    <col min="11527" max="11527" width="9" style="3179" customWidth="1"/>
    <col min="11528" max="11528" width="10.21875" style="3179" customWidth="1"/>
    <col min="11529" max="11530" width="12.109375" style="3179" customWidth="1"/>
    <col min="11531" max="11531" width="16.33203125" style="3179" customWidth="1"/>
    <col min="11532" max="11532" width="7.109375" style="3179" customWidth="1"/>
    <col min="11533" max="11533" width="36.6640625" style="3179" customWidth="1"/>
    <col min="11534" max="11534" width="9" style="3179" customWidth="1"/>
    <col min="11535" max="11776" width="8.88671875" style="3179"/>
    <col min="11777" max="11777" width="79.109375" style="3179" customWidth="1"/>
    <col min="11778" max="11778" width="7.109375" style="3179" customWidth="1"/>
    <col min="11779" max="11781" width="15.88671875" style="3179" customWidth="1"/>
    <col min="11782" max="11782" width="21.88671875" style="3179" customWidth="1"/>
    <col min="11783" max="11783" width="9" style="3179" customWidth="1"/>
    <col min="11784" max="11784" width="10.21875" style="3179" customWidth="1"/>
    <col min="11785" max="11786" width="12.109375" style="3179" customWidth="1"/>
    <col min="11787" max="11787" width="16.33203125" style="3179" customWidth="1"/>
    <col min="11788" max="11788" width="7.109375" style="3179" customWidth="1"/>
    <col min="11789" max="11789" width="36.6640625" style="3179" customWidth="1"/>
    <col min="11790" max="11790" width="9" style="3179" customWidth="1"/>
    <col min="11791" max="12032" width="8.88671875" style="3179"/>
    <col min="12033" max="12033" width="79.109375" style="3179" customWidth="1"/>
    <col min="12034" max="12034" width="7.109375" style="3179" customWidth="1"/>
    <col min="12035" max="12037" width="15.88671875" style="3179" customWidth="1"/>
    <col min="12038" max="12038" width="21.88671875" style="3179" customWidth="1"/>
    <col min="12039" max="12039" width="9" style="3179" customWidth="1"/>
    <col min="12040" max="12040" width="10.21875" style="3179" customWidth="1"/>
    <col min="12041" max="12042" width="12.109375" style="3179" customWidth="1"/>
    <col min="12043" max="12043" width="16.33203125" style="3179" customWidth="1"/>
    <col min="12044" max="12044" width="7.109375" style="3179" customWidth="1"/>
    <col min="12045" max="12045" width="36.6640625" style="3179" customWidth="1"/>
    <col min="12046" max="12046" width="9" style="3179" customWidth="1"/>
    <col min="12047" max="12288" width="8.88671875" style="3179"/>
    <col min="12289" max="12289" width="79.109375" style="3179" customWidth="1"/>
    <col min="12290" max="12290" width="7.109375" style="3179" customWidth="1"/>
    <col min="12291" max="12293" width="15.88671875" style="3179" customWidth="1"/>
    <col min="12294" max="12294" width="21.88671875" style="3179" customWidth="1"/>
    <col min="12295" max="12295" width="9" style="3179" customWidth="1"/>
    <col min="12296" max="12296" width="10.21875" style="3179" customWidth="1"/>
    <col min="12297" max="12298" width="12.109375" style="3179" customWidth="1"/>
    <col min="12299" max="12299" width="16.33203125" style="3179" customWidth="1"/>
    <col min="12300" max="12300" width="7.109375" style="3179" customWidth="1"/>
    <col min="12301" max="12301" width="36.6640625" style="3179" customWidth="1"/>
    <col min="12302" max="12302" width="9" style="3179" customWidth="1"/>
    <col min="12303" max="12544" width="8.88671875" style="3179"/>
    <col min="12545" max="12545" width="79.109375" style="3179" customWidth="1"/>
    <col min="12546" max="12546" width="7.109375" style="3179" customWidth="1"/>
    <col min="12547" max="12549" width="15.88671875" style="3179" customWidth="1"/>
    <col min="12550" max="12550" width="21.88671875" style="3179" customWidth="1"/>
    <col min="12551" max="12551" width="9" style="3179" customWidth="1"/>
    <col min="12552" max="12552" width="10.21875" style="3179" customWidth="1"/>
    <col min="12553" max="12554" width="12.109375" style="3179" customWidth="1"/>
    <col min="12555" max="12555" width="16.33203125" style="3179" customWidth="1"/>
    <col min="12556" max="12556" width="7.109375" style="3179" customWidth="1"/>
    <col min="12557" max="12557" width="36.6640625" style="3179" customWidth="1"/>
    <col min="12558" max="12558" width="9" style="3179" customWidth="1"/>
    <col min="12559" max="12800" width="8.88671875" style="3179"/>
    <col min="12801" max="12801" width="79.109375" style="3179" customWidth="1"/>
    <col min="12802" max="12802" width="7.109375" style="3179" customWidth="1"/>
    <col min="12803" max="12805" width="15.88671875" style="3179" customWidth="1"/>
    <col min="12806" max="12806" width="21.88671875" style="3179" customWidth="1"/>
    <col min="12807" max="12807" width="9" style="3179" customWidth="1"/>
    <col min="12808" max="12808" width="10.21875" style="3179" customWidth="1"/>
    <col min="12809" max="12810" width="12.109375" style="3179" customWidth="1"/>
    <col min="12811" max="12811" width="16.33203125" style="3179" customWidth="1"/>
    <col min="12812" max="12812" width="7.109375" style="3179" customWidth="1"/>
    <col min="12813" max="12813" width="36.6640625" style="3179" customWidth="1"/>
    <col min="12814" max="12814" width="9" style="3179" customWidth="1"/>
    <col min="12815" max="13056" width="8.88671875" style="3179"/>
    <col min="13057" max="13057" width="79.109375" style="3179" customWidth="1"/>
    <col min="13058" max="13058" width="7.109375" style="3179" customWidth="1"/>
    <col min="13059" max="13061" width="15.88671875" style="3179" customWidth="1"/>
    <col min="13062" max="13062" width="21.88671875" style="3179" customWidth="1"/>
    <col min="13063" max="13063" width="9" style="3179" customWidth="1"/>
    <col min="13064" max="13064" width="10.21875" style="3179" customWidth="1"/>
    <col min="13065" max="13066" width="12.109375" style="3179" customWidth="1"/>
    <col min="13067" max="13067" width="16.33203125" style="3179" customWidth="1"/>
    <col min="13068" max="13068" width="7.109375" style="3179" customWidth="1"/>
    <col min="13069" max="13069" width="36.6640625" style="3179" customWidth="1"/>
    <col min="13070" max="13070" width="9" style="3179" customWidth="1"/>
    <col min="13071" max="13312" width="8.88671875" style="3179"/>
    <col min="13313" max="13313" width="79.109375" style="3179" customWidth="1"/>
    <col min="13314" max="13314" width="7.109375" style="3179" customWidth="1"/>
    <col min="13315" max="13317" width="15.88671875" style="3179" customWidth="1"/>
    <col min="13318" max="13318" width="21.88671875" style="3179" customWidth="1"/>
    <col min="13319" max="13319" width="9" style="3179" customWidth="1"/>
    <col min="13320" max="13320" width="10.21875" style="3179" customWidth="1"/>
    <col min="13321" max="13322" width="12.109375" style="3179" customWidth="1"/>
    <col min="13323" max="13323" width="16.33203125" style="3179" customWidth="1"/>
    <col min="13324" max="13324" width="7.109375" style="3179" customWidth="1"/>
    <col min="13325" max="13325" width="36.6640625" style="3179" customWidth="1"/>
    <col min="13326" max="13326" width="9" style="3179" customWidth="1"/>
    <col min="13327" max="13568" width="8.88671875" style="3179"/>
    <col min="13569" max="13569" width="79.109375" style="3179" customWidth="1"/>
    <col min="13570" max="13570" width="7.109375" style="3179" customWidth="1"/>
    <col min="13571" max="13573" width="15.88671875" style="3179" customWidth="1"/>
    <col min="13574" max="13574" width="21.88671875" style="3179" customWidth="1"/>
    <col min="13575" max="13575" width="9" style="3179" customWidth="1"/>
    <col min="13576" max="13576" width="10.21875" style="3179" customWidth="1"/>
    <col min="13577" max="13578" width="12.109375" style="3179" customWidth="1"/>
    <col min="13579" max="13579" width="16.33203125" style="3179" customWidth="1"/>
    <col min="13580" max="13580" width="7.109375" style="3179" customWidth="1"/>
    <col min="13581" max="13581" width="36.6640625" style="3179" customWidth="1"/>
    <col min="13582" max="13582" width="9" style="3179" customWidth="1"/>
    <col min="13583" max="13824" width="8.88671875" style="3179"/>
    <col min="13825" max="13825" width="79.109375" style="3179" customWidth="1"/>
    <col min="13826" max="13826" width="7.109375" style="3179" customWidth="1"/>
    <col min="13827" max="13829" width="15.88671875" style="3179" customWidth="1"/>
    <col min="13830" max="13830" width="21.88671875" style="3179" customWidth="1"/>
    <col min="13831" max="13831" width="9" style="3179" customWidth="1"/>
    <col min="13832" max="13832" width="10.21875" style="3179" customWidth="1"/>
    <col min="13833" max="13834" width="12.109375" style="3179" customWidth="1"/>
    <col min="13835" max="13835" width="16.33203125" style="3179" customWidth="1"/>
    <col min="13836" max="13836" width="7.109375" style="3179" customWidth="1"/>
    <col min="13837" max="13837" width="36.6640625" style="3179" customWidth="1"/>
    <col min="13838" max="13838" width="9" style="3179" customWidth="1"/>
    <col min="13839" max="14080" width="8.88671875" style="3179"/>
    <col min="14081" max="14081" width="79.109375" style="3179" customWidth="1"/>
    <col min="14082" max="14082" width="7.109375" style="3179" customWidth="1"/>
    <col min="14083" max="14085" width="15.88671875" style="3179" customWidth="1"/>
    <col min="14086" max="14086" width="21.88671875" style="3179" customWidth="1"/>
    <col min="14087" max="14087" width="9" style="3179" customWidth="1"/>
    <col min="14088" max="14088" width="10.21875" style="3179" customWidth="1"/>
    <col min="14089" max="14090" width="12.109375" style="3179" customWidth="1"/>
    <col min="14091" max="14091" width="16.33203125" style="3179" customWidth="1"/>
    <col min="14092" max="14092" width="7.109375" style="3179" customWidth="1"/>
    <col min="14093" max="14093" width="36.6640625" style="3179" customWidth="1"/>
    <col min="14094" max="14094" width="9" style="3179" customWidth="1"/>
    <col min="14095" max="14336" width="8.88671875" style="3179"/>
    <col min="14337" max="14337" width="79.109375" style="3179" customWidth="1"/>
    <col min="14338" max="14338" width="7.109375" style="3179" customWidth="1"/>
    <col min="14339" max="14341" width="15.88671875" style="3179" customWidth="1"/>
    <col min="14342" max="14342" width="21.88671875" style="3179" customWidth="1"/>
    <col min="14343" max="14343" width="9" style="3179" customWidth="1"/>
    <col min="14344" max="14344" width="10.21875" style="3179" customWidth="1"/>
    <col min="14345" max="14346" width="12.109375" style="3179" customWidth="1"/>
    <col min="14347" max="14347" width="16.33203125" style="3179" customWidth="1"/>
    <col min="14348" max="14348" width="7.109375" style="3179" customWidth="1"/>
    <col min="14349" max="14349" width="36.6640625" style="3179" customWidth="1"/>
    <col min="14350" max="14350" width="9" style="3179" customWidth="1"/>
    <col min="14351" max="14592" width="8.88671875" style="3179"/>
    <col min="14593" max="14593" width="79.109375" style="3179" customWidth="1"/>
    <col min="14594" max="14594" width="7.109375" style="3179" customWidth="1"/>
    <col min="14595" max="14597" width="15.88671875" style="3179" customWidth="1"/>
    <col min="14598" max="14598" width="21.88671875" style="3179" customWidth="1"/>
    <col min="14599" max="14599" width="9" style="3179" customWidth="1"/>
    <col min="14600" max="14600" width="10.21875" style="3179" customWidth="1"/>
    <col min="14601" max="14602" width="12.109375" style="3179" customWidth="1"/>
    <col min="14603" max="14603" width="16.33203125" style="3179" customWidth="1"/>
    <col min="14604" max="14604" width="7.109375" style="3179" customWidth="1"/>
    <col min="14605" max="14605" width="36.6640625" style="3179" customWidth="1"/>
    <col min="14606" max="14606" width="9" style="3179" customWidth="1"/>
    <col min="14607" max="14848" width="8.88671875" style="3179"/>
    <col min="14849" max="14849" width="79.109375" style="3179" customWidth="1"/>
    <col min="14850" max="14850" width="7.109375" style="3179" customWidth="1"/>
    <col min="14851" max="14853" width="15.88671875" style="3179" customWidth="1"/>
    <col min="14854" max="14854" width="21.88671875" style="3179" customWidth="1"/>
    <col min="14855" max="14855" width="9" style="3179" customWidth="1"/>
    <col min="14856" max="14856" width="10.21875" style="3179" customWidth="1"/>
    <col min="14857" max="14858" width="12.109375" style="3179" customWidth="1"/>
    <col min="14859" max="14859" width="16.33203125" style="3179" customWidth="1"/>
    <col min="14860" max="14860" width="7.109375" style="3179" customWidth="1"/>
    <col min="14861" max="14861" width="36.6640625" style="3179" customWidth="1"/>
    <col min="14862" max="14862" width="9" style="3179" customWidth="1"/>
    <col min="14863" max="15104" width="8.88671875" style="3179"/>
    <col min="15105" max="15105" width="79.109375" style="3179" customWidth="1"/>
    <col min="15106" max="15106" width="7.109375" style="3179" customWidth="1"/>
    <col min="15107" max="15109" width="15.88671875" style="3179" customWidth="1"/>
    <col min="15110" max="15110" width="21.88671875" style="3179" customWidth="1"/>
    <col min="15111" max="15111" width="9" style="3179" customWidth="1"/>
    <col min="15112" max="15112" width="10.21875" style="3179" customWidth="1"/>
    <col min="15113" max="15114" width="12.109375" style="3179" customWidth="1"/>
    <col min="15115" max="15115" width="16.33203125" style="3179" customWidth="1"/>
    <col min="15116" max="15116" width="7.109375" style="3179" customWidth="1"/>
    <col min="15117" max="15117" width="36.6640625" style="3179" customWidth="1"/>
    <col min="15118" max="15118" width="9" style="3179" customWidth="1"/>
    <col min="15119" max="15360" width="8.88671875" style="3179"/>
    <col min="15361" max="15361" width="79.109375" style="3179" customWidth="1"/>
    <col min="15362" max="15362" width="7.109375" style="3179" customWidth="1"/>
    <col min="15363" max="15365" width="15.88671875" style="3179" customWidth="1"/>
    <col min="15366" max="15366" width="21.88671875" style="3179" customWidth="1"/>
    <col min="15367" max="15367" width="9" style="3179" customWidth="1"/>
    <col min="15368" max="15368" width="10.21875" style="3179" customWidth="1"/>
    <col min="15369" max="15370" width="12.109375" style="3179" customWidth="1"/>
    <col min="15371" max="15371" width="16.33203125" style="3179" customWidth="1"/>
    <col min="15372" max="15372" width="7.109375" style="3179" customWidth="1"/>
    <col min="15373" max="15373" width="36.6640625" style="3179" customWidth="1"/>
    <col min="15374" max="15374" width="9" style="3179" customWidth="1"/>
    <col min="15375" max="15616" width="8.88671875" style="3179"/>
    <col min="15617" max="15617" width="79.109375" style="3179" customWidth="1"/>
    <col min="15618" max="15618" width="7.109375" style="3179" customWidth="1"/>
    <col min="15619" max="15621" width="15.88671875" style="3179" customWidth="1"/>
    <col min="15622" max="15622" width="21.88671875" style="3179" customWidth="1"/>
    <col min="15623" max="15623" width="9" style="3179" customWidth="1"/>
    <col min="15624" max="15624" width="10.21875" style="3179" customWidth="1"/>
    <col min="15625" max="15626" width="12.109375" style="3179" customWidth="1"/>
    <col min="15627" max="15627" width="16.33203125" style="3179" customWidth="1"/>
    <col min="15628" max="15628" width="7.109375" style="3179" customWidth="1"/>
    <col min="15629" max="15629" width="36.6640625" style="3179" customWidth="1"/>
    <col min="15630" max="15630" width="9" style="3179" customWidth="1"/>
    <col min="15631" max="15872" width="8.88671875" style="3179"/>
    <col min="15873" max="15873" width="79.109375" style="3179" customWidth="1"/>
    <col min="15874" max="15874" width="7.109375" style="3179" customWidth="1"/>
    <col min="15875" max="15877" width="15.88671875" style="3179" customWidth="1"/>
    <col min="15878" max="15878" width="21.88671875" style="3179" customWidth="1"/>
    <col min="15879" max="15879" width="9" style="3179" customWidth="1"/>
    <col min="15880" max="15880" width="10.21875" style="3179" customWidth="1"/>
    <col min="15881" max="15882" width="12.109375" style="3179" customWidth="1"/>
    <col min="15883" max="15883" width="16.33203125" style="3179" customWidth="1"/>
    <col min="15884" max="15884" width="7.109375" style="3179" customWidth="1"/>
    <col min="15885" max="15885" width="36.6640625" style="3179" customWidth="1"/>
    <col min="15886" max="15886" width="9" style="3179" customWidth="1"/>
    <col min="15887" max="16128" width="8.88671875" style="3179"/>
    <col min="16129" max="16129" width="79.109375" style="3179" customWidth="1"/>
    <col min="16130" max="16130" width="7.109375" style="3179" customWidth="1"/>
    <col min="16131" max="16133" width="15.88671875" style="3179" customWidth="1"/>
    <col min="16134" max="16134" width="21.88671875" style="3179" customWidth="1"/>
    <col min="16135" max="16135" width="9" style="3179" customWidth="1"/>
    <col min="16136" max="16136" width="10.21875" style="3179" customWidth="1"/>
    <col min="16137" max="16138" width="12.109375" style="3179" customWidth="1"/>
    <col min="16139" max="16139" width="16.33203125" style="3179" customWidth="1"/>
    <col min="16140" max="16140" width="7.109375" style="3179" customWidth="1"/>
    <col min="16141" max="16141" width="36.6640625" style="3179" customWidth="1"/>
    <col min="16142" max="16142" width="9" style="3179" customWidth="1"/>
    <col min="16143" max="16384" width="8.88671875" style="3179"/>
  </cols>
  <sheetData>
    <row r="1" spans="1:15">
      <c r="A1" s="3179" t="s">
        <v>3014</v>
      </c>
      <c r="B1" s="3179" t="s">
        <v>3015</v>
      </c>
      <c r="C1" s="3179" t="s">
        <v>3016</v>
      </c>
      <c r="D1" s="3179" t="s">
        <v>3017</v>
      </c>
      <c r="E1" s="3179" t="s">
        <v>3018</v>
      </c>
      <c r="F1" s="3270" t="s">
        <v>2029</v>
      </c>
      <c r="G1" s="3179" t="s">
        <v>3019</v>
      </c>
      <c r="H1" s="3179" t="s">
        <v>3020</v>
      </c>
      <c r="I1" s="3179" t="s">
        <v>3021</v>
      </c>
      <c r="J1" s="3179" t="s">
        <v>3022</v>
      </c>
      <c r="K1" s="3179" t="s">
        <v>3023</v>
      </c>
      <c r="L1" s="3179" t="s">
        <v>3024</v>
      </c>
      <c r="M1" s="3179" t="s">
        <v>3025</v>
      </c>
      <c r="N1" s="3179" t="s">
        <v>3026</v>
      </c>
    </row>
    <row r="2" spans="1:15" s="3193" customFormat="1">
      <c r="A2" s="3193" t="s">
        <v>3027</v>
      </c>
      <c r="B2" s="3193" t="s">
        <v>3028</v>
      </c>
      <c r="C2" s="3193" t="s">
        <v>3029</v>
      </c>
      <c r="D2" s="3193">
        <v>43193.2</v>
      </c>
      <c r="E2" s="3193">
        <v>77747.759999999995</v>
      </c>
      <c r="F2" s="3271" t="s">
        <v>3030</v>
      </c>
      <c r="G2" s="3193" t="s">
        <v>3031</v>
      </c>
      <c r="H2" s="3193" t="s">
        <v>3032</v>
      </c>
      <c r="I2" s="3193">
        <v>7774.77</v>
      </c>
      <c r="J2" s="3193">
        <v>7774.77</v>
      </c>
      <c r="K2" s="3193">
        <v>1000</v>
      </c>
      <c r="L2" s="3193">
        <v>0</v>
      </c>
      <c r="M2" s="3193" t="s">
        <v>3033</v>
      </c>
      <c r="N2" s="3193" t="s">
        <v>3034</v>
      </c>
      <c r="O2" s="3267">
        <f>J2/(D2/666.67)</f>
        <v>120.00050739236733</v>
      </c>
    </row>
    <row r="3" spans="1:15" s="3180" customFormat="1" ht="15">
      <c r="A3" s="3194" t="s">
        <v>3152</v>
      </c>
      <c r="B3" s="3180" t="s">
        <v>3028</v>
      </c>
      <c r="C3" s="3180" t="s">
        <v>3029</v>
      </c>
      <c r="D3" s="3180">
        <v>56226.32</v>
      </c>
      <c r="E3" s="3180">
        <v>101207.38</v>
      </c>
      <c r="F3" s="3272" t="s">
        <v>3030</v>
      </c>
      <c r="G3" s="3180" t="s">
        <v>3031</v>
      </c>
      <c r="H3" s="3180" t="s">
        <v>3035</v>
      </c>
      <c r="I3" s="3180">
        <v>17019.7</v>
      </c>
      <c r="J3" s="3180">
        <v>17289.7</v>
      </c>
      <c r="K3" s="3180">
        <v>1708</v>
      </c>
      <c r="L3" s="3180">
        <v>1.59</v>
      </c>
      <c r="M3" s="3180" t="s">
        <v>3036</v>
      </c>
      <c r="N3" s="3180" t="s">
        <v>3037</v>
      </c>
      <c r="O3" s="3268">
        <f t="shared" ref="O3:O35" si="0">J3/(D3/666.67)</f>
        <v>205.00228894581753</v>
      </c>
    </row>
    <row r="4" spans="1:15">
      <c r="A4" s="3179" t="s">
        <v>3038</v>
      </c>
      <c r="B4" s="3179" t="s">
        <v>3028</v>
      </c>
      <c r="C4" s="3179" t="s">
        <v>3029</v>
      </c>
      <c r="D4" s="3179">
        <v>53551.06</v>
      </c>
      <c r="E4" s="3179">
        <v>96391.91</v>
      </c>
      <c r="F4" s="3270" t="s">
        <v>3030</v>
      </c>
      <c r="G4" s="3179" t="s">
        <v>3031</v>
      </c>
      <c r="H4" s="3179" t="s">
        <v>3035</v>
      </c>
      <c r="I4" s="3179">
        <v>16209.9</v>
      </c>
      <c r="J4" s="3179">
        <v>16467.650000000001</v>
      </c>
      <c r="K4" s="3179">
        <v>1708.41</v>
      </c>
      <c r="L4" s="3179">
        <v>1.59</v>
      </c>
      <c r="M4" s="3179" t="s">
        <v>3036</v>
      </c>
      <c r="N4" s="3179" t="s">
        <v>3037</v>
      </c>
      <c r="O4" s="3269">
        <f t="shared" si="0"/>
        <v>205.00972764124558</v>
      </c>
    </row>
    <row r="5" spans="1:15">
      <c r="A5" s="3179" t="s">
        <v>3039</v>
      </c>
      <c r="B5" s="3179" t="s">
        <v>3028</v>
      </c>
      <c r="C5" s="3179" t="s">
        <v>3029</v>
      </c>
      <c r="D5" s="3179">
        <v>28008.05</v>
      </c>
      <c r="E5" s="3179">
        <v>50414.49</v>
      </c>
      <c r="F5" s="3270" t="s">
        <v>3030</v>
      </c>
      <c r="G5" s="3179" t="s">
        <v>3031</v>
      </c>
      <c r="H5" s="3179" t="s">
        <v>3035</v>
      </c>
      <c r="I5" s="3179">
        <v>8478.0400000000009</v>
      </c>
      <c r="J5" s="3179">
        <v>8612.0400000000009</v>
      </c>
      <c r="K5" s="3179">
        <v>1708.25</v>
      </c>
      <c r="L5" s="3179">
        <v>1.58</v>
      </c>
      <c r="M5" s="3179" t="s">
        <v>3036</v>
      </c>
      <c r="N5" s="3179" t="s">
        <v>3037</v>
      </c>
      <c r="O5" s="3269">
        <f t="shared" si="0"/>
        <v>204.99066185614495</v>
      </c>
    </row>
    <row r="6" spans="1:15">
      <c r="A6" s="3179" t="s">
        <v>3040</v>
      </c>
      <c r="B6" s="3179" t="s">
        <v>3028</v>
      </c>
      <c r="C6" s="3179" t="s">
        <v>3029</v>
      </c>
      <c r="D6" s="3179">
        <v>58271.79</v>
      </c>
      <c r="E6" s="3179">
        <v>104889.22</v>
      </c>
      <c r="F6" s="3270" t="s">
        <v>3030</v>
      </c>
      <c r="G6" s="3179" t="s">
        <v>3031</v>
      </c>
      <c r="H6" s="3179" t="s">
        <v>3035</v>
      </c>
      <c r="I6" s="3179">
        <v>17638.86</v>
      </c>
      <c r="J6" s="3179">
        <v>17919.04</v>
      </c>
      <c r="K6" s="3179">
        <v>1708.38</v>
      </c>
      <c r="L6" s="3179">
        <v>1.59</v>
      </c>
      <c r="M6" s="3179" t="s">
        <v>3036</v>
      </c>
      <c r="N6" s="3179" t="s">
        <v>3037</v>
      </c>
      <c r="O6" s="3269">
        <f t="shared" si="0"/>
        <v>205.00634006266154</v>
      </c>
    </row>
    <row r="7" spans="1:15">
      <c r="A7" s="3179" t="s">
        <v>3041</v>
      </c>
      <c r="B7" s="3179" t="s">
        <v>3028</v>
      </c>
      <c r="C7" s="3179" t="s">
        <v>3029</v>
      </c>
      <c r="D7" s="3179">
        <v>61060.54</v>
      </c>
      <c r="E7" s="3179">
        <v>91590.81</v>
      </c>
      <c r="F7" s="3270" t="s">
        <v>3042</v>
      </c>
      <c r="G7" s="3179" t="s">
        <v>3031</v>
      </c>
      <c r="H7" s="3179" t="s">
        <v>3035</v>
      </c>
      <c r="I7" s="3179">
        <v>16971.77</v>
      </c>
      <c r="J7" s="3179">
        <v>17402.09</v>
      </c>
      <c r="K7" s="3179">
        <v>1899.98</v>
      </c>
      <c r="L7" s="3179">
        <v>2.54</v>
      </c>
      <c r="M7" s="3179" t="s">
        <v>3036</v>
      </c>
      <c r="N7" s="3179" t="s">
        <v>3037</v>
      </c>
      <c r="O7" s="3269">
        <f t="shared" si="0"/>
        <v>189.99916051020838</v>
      </c>
    </row>
    <row r="8" spans="1:15" s="3180" customFormat="1">
      <c r="A8" s="3180" t="s">
        <v>3043</v>
      </c>
      <c r="B8" s="3180" t="s">
        <v>3028</v>
      </c>
      <c r="C8" s="3180" t="s">
        <v>3029</v>
      </c>
      <c r="D8" s="3180">
        <v>3795.12</v>
      </c>
      <c r="E8" s="3180">
        <v>7590.24</v>
      </c>
      <c r="F8" s="3272" t="s">
        <v>3044</v>
      </c>
      <c r="G8" s="3180" t="s">
        <v>3031</v>
      </c>
      <c r="H8" s="3180" t="s">
        <v>3045</v>
      </c>
      <c r="I8" s="3180">
        <v>1024.68</v>
      </c>
      <c r="J8" s="3180">
        <v>1026</v>
      </c>
      <c r="K8" s="3180">
        <v>1352</v>
      </c>
      <c r="L8" s="3180">
        <v>0.13</v>
      </c>
      <c r="M8" s="3180" t="s">
        <v>3046</v>
      </c>
      <c r="N8" s="3180" t="s">
        <v>3037</v>
      </c>
      <c r="O8" s="3268">
        <f t="shared" si="0"/>
        <v>180.2323562891292</v>
      </c>
    </row>
    <row r="9" spans="1:15">
      <c r="A9" s="3179" t="s">
        <v>3047</v>
      </c>
      <c r="B9" s="3179" t="s">
        <v>3028</v>
      </c>
      <c r="C9" s="3179" t="s">
        <v>3029</v>
      </c>
      <c r="D9" s="3179">
        <v>39588.43</v>
      </c>
      <c r="E9" s="3179">
        <v>47506.12</v>
      </c>
      <c r="F9" s="3270" t="s">
        <v>3048</v>
      </c>
      <c r="G9" s="3179" t="s">
        <v>3031</v>
      </c>
      <c r="H9" s="3179" t="s">
        <v>3045</v>
      </c>
      <c r="I9" s="3179">
        <v>8313.2000000000007</v>
      </c>
      <c r="J9" s="3179">
        <v>8313.2000000000007</v>
      </c>
      <c r="K9" s="3179">
        <v>1749.92</v>
      </c>
      <c r="L9" s="3179">
        <v>0</v>
      </c>
      <c r="M9" s="3179" t="s">
        <v>3049</v>
      </c>
      <c r="N9" s="3179" t="s">
        <v>3037</v>
      </c>
      <c r="O9" s="3269">
        <f t="shared" si="0"/>
        <v>139.99446414015409</v>
      </c>
    </row>
    <row r="10" spans="1:15">
      <c r="A10" s="3179" t="s">
        <v>3050</v>
      </c>
      <c r="B10" s="3179" t="s">
        <v>3028</v>
      </c>
      <c r="C10" s="3179" t="s">
        <v>3051</v>
      </c>
      <c r="D10" s="3179">
        <v>27033.99</v>
      </c>
      <c r="E10" s="3179">
        <v>55419.7</v>
      </c>
      <c r="F10" s="3270" t="s">
        <v>3052</v>
      </c>
      <c r="G10" s="3179" t="s">
        <v>3053</v>
      </c>
      <c r="H10" s="3179" t="s">
        <v>3054</v>
      </c>
      <c r="I10" s="3179">
        <v>1905.84</v>
      </c>
      <c r="J10" s="3179">
        <v>1905.84</v>
      </c>
      <c r="K10" s="3179">
        <v>343.88</v>
      </c>
      <c r="L10" s="3179">
        <v>0</v>
      </c>
      <c r="M10" s="3179" t="s">
        <v>3055</v>
      </c>
      <c r="N10" s="3179" t="s">
        <v>3056</v>
      </c>
      <c r="O10" s="3269">
        <f t="shared" si="0"/>
        <v>46.998846740714185</v>
      </c>
    </row>
    <row r="11" spans="1:15">
      <c r="A11" s="3179" t="s">
        <v>3057</v>
      </c>
      <c r="B11" s="3179" t="s">
        <v>3028</v>
      </c>
      <c r="C11" s="3179" t="s">
        <v>3029</v>
      </c>
      <c r="D11" s="3179">
        <v>71412.66</v>
      </c>
      <c r="E11" s="3179">
        <v>164249.12</v>
      </c>
      <c r="F11" s="3270" t="s">
        <v>3058</v>
      </c>
      <c r="G11" s="3179" t="s">
        <v>3031</v>
      </c>
      <c r="H11" s="3179" t="s">
        <v>3059</v>
      </c>
      <c r="I11" s="3179">
        <v>26993.84</v>
      </c>
      <c r="J11" s="3179">
        <v>26993.99</v>
      </c>
      <c r="K11" s="3179">
        <v>1643.48</v>
      </c>
      <c r="L11" s="3179">
        <v>0</v>
      </c>
      <c r="M11" s="3179" t="s">
        <v>3060</v>
      </c>
      <c r="N11" s="3179" t="s">
        <v>3037</v>
      </c>
      <c r="O11" s="3269">
        <f t="shared" si="0"/>
        <v>252.00130219627724</v>
      </c>
    </row>
    <row r="12" spans="1:15">
      <c r="A12" s="3179" t="s">
        <v>3061</v>
      </c>
      <c r="B12" s="3179" t="s">
        <v>3028</v>
      </c>
      <c r="C12" s="3179" t="s">
        <v>3029</v>
      </c>
      <c r="D12" s="3179">
        <v>26714.6</v>
      </c>
      <c r="E12" s="3179">
        <v>48086.28</v>
      </c>
      <c r="F12" s="3270" t="s">
        <v>3030</v>
      </c>
      <c r="G12" s="3179" t="s">
        <v>3031</v>
      </c>
      <c r="H12" s="3179" t="s">
        <v>3062</v>
      </c>
      <c r="I12" s="3179">
        <v>9216.48</v>
      </c>
      <c r="J12" s="3179">
        <v>9216.5400000000009</v>
      </c>
      <c r="K12" s="3179">
        <v>1916.67</v>
      </c>
      <c r="L12" s="3179">
        <v>0</v>
      </c>
      <c r="M12" s="3179" t="s">
        <v>3063</v>
      </c>
      <c r="N12" s="3179" t="s">
        <v>3037</v>
      </c>
      <c r="O12" s="3269">
        <f t="shared" si="0"/>
        <v>230.00122486580372</v>
      </c>
    </row>
    <row r="13" spans="1:15">
      <c r="A13" s="3179" t="s">
        <v>3064</v>
      </c>
      <c r="B13" s="3179" t="s">
        <v>3028</v>
      </c>
      <c r="C13" s="3179" t="s">
        <v>3029</v>
      </c>
      <c r="D13" s="3179">
        <v>68772.479999999996</v>
      </c>
      <c r="E13" s="3179">
        <v>123790.46</v>
      </c>
      <c r="F13" s="3270" t="s">
        <v>3030</v>
      </c>
      <c r="G13" s="3179" t="s">
        <v>3031</v>
      </c>
      <c r="H13" s="3179" t="s">
        <v>3062</v>
      </c>
      <c r="I13" s="3179">
        <v>23726.38</v>
      </c>
      <c r="J13" s="3179">
        <v>23726.5</v>
      </c>
      <c r="K13" s="3179">
        <v>1916.67</v>
      </c>
      <c r="L13" s="3179">
        <v>0</v>
      </c>
      <c r="M13" s="3179" t="s">
        <v>3063</v>
      </c>
      <c r="N13" s="3179" t="s">
        <v>3037</v>
      </c>
      <c r="O13" s="3269">
        <f t="shared" si="0"/>
        <v>230.00109571444855</v>
      </c>
    </row>
    <row r="14" spans="1:15" s="3180" customFormat="1">
      <c r="A14" s="3180" t="s">
        <v>3065</v>
      </c>
      <c r="B14" s="3180" t="s">
        <v>3028</v>
      </c>
      <c r="C14" s="3180" t="s">
        <v>3029</v>
      </c>
      <c r="D14" s="3180">
        <v>26682.38</v>
      </c>
      <c r="E14" s="3180">
        <v>40023.57</v>
      </c>
      <c r="F14" s="3272" t="s">
        <v>3066</v>
      </c>
      <c r="G14" s="3180" t="s">
        <v>3031</v>
      </c>
      <c r="H14" s="3180" t="s">
        <v>3067</v>
      </c>
      <c r="I14" s="3180" t="s">
        <v>2814</v>
      </c>
      <c r="J14" s="3180">
        <v>5842.92</v>
      </c>
      <c r="K14" s="3180">
        <v>1460</v>
      </c>
      <c r="L14" s="3180" t="s">
        <v>2814</v>
      </c>
      <c r="M14" s="3180" t="s">
        <v>3068</v>
      </c>
      <c r="N14" s="3180" t="s">
        <v>3034</v>
      </c>
      <c r="O14" s="3268">
        <f t="shared" si="0"/>
        <v>145.98770710858625</v>
      </c>
    </row>
    <row r="15" spans="1:15">
      <c r="A15" s="3179" t="s">
        <v>3069</v>
      </c>
      <c r="B15" s="3179" t="s">
        <v>3028</v>
      </c>
      <c r="C15" s="3179" t="s">
        <v>3029</v>
      </c>
      <c r="D15" s="3179">
        <v>22239.25</v>
      </c>
      <c r="E15" s="3179">
        <v>33358.879999999997</v>
      </c>
      <c r="F15" s="3270" t="s">
        <v>3042</v>
      </c>
      <c r="G15" s="3179" t="s">
        <v>3031</v>
      </c>
      <c r="H15" s="3179" t="s">
        <v>3067</v>
      </c>
      <c r="I15" s="3179" t="s">
        <v>2814</v>
      </c>
      <c r="J15" s="3179">
        <v>4870.5600000000004</v>
      </c>
      <c r="K15" s="3179">
        <v>1460.04</v>
      </c>
      <c r="L15" s="3179" t="s">
        <v>2814</v>
      </c>
      <c r="M15" s="3179" t="s">
        <v>3068</v>
      </c>
      <c r="N15" s="3179" t="s">
        <v>3037</v>
      </c>
      <c r="O15" s="3269">
        <f t="shared" si="0"/>
        <v>146.00565375181267</v>
      </c>
    </row>
    <row r="16" spans="1:15">
      <c r="A16" s="3179" t="s">
        <v>3070</v>
      </c>
      <c r="B16" s="3179" t="s">
        <v>3028</v>
      </c>
      <c r="C16" s="3179" t="s">
        <v>3051</v>
      </c>
      <c r="D16" s="3179">
        <v>42944.5</v>
      </c>
      <c r="E16" s="3179">
        <v>64416.75</v>
      </c>
      <c r="F16" s="3270" t="s">
        <v>3066</v>
      </c>
      <c r="G16" s="3179" t="s">
        <v>3031</v>
      </c>
      <c r="H16" s="3179" t="s">
        <v>3067</v>
      </c>
      <c r="I16" s="3179" t="s">
        <v>2814</v>
      </c>
      <c r="J16" s="3179">
        <v>9791.84</v>
      </c>
      <c r="K16" s="3179">
        <v>1520.07</v>
      </c>
      <c r="L16" s="3179" t="s">
        <v>2814</v>
      </c>
      <c r="M16" s="3179" t="s">
        <v>3068</v>
      </c>
      <c r="N16" s="3179" t="s">
        <v>3034</v>
      </c>
      <c r="O16" s="3269">
        <f t="shared" si="0"/>
        <v>152.00842885119164</v>
      </c>
    </row>
    <row r="17" spans="1:15">
      <c r="A17" s="3179" t="s">
        <v>3071</v>
      </c>
      <c r="B17" s="3179" t="s">
        <v>3028</v>
      </c>
      <c r="C17" s="3179" t="s">
        <v>3051</v>
      </c>
      <c r="D17" s="3179">
        <v>12614.93</v>
      </c>
      <c r="E17" s="3179">
        <v>37844.79</v>
      </c>
      <c r="F17" s="3270" t="s">
        <v>3072</v>
      </c>
      <c r="G17" s="3179" t="s">
        <v>3053</v>
      </c>
      <c r="H17" s="3179" t="s">
        <v>3067</v>
      </c>
      <c r="I17" s="3179">
        <v>3803.38</v>
      </c>
      <c r="J17" s="3179">
        <v>5013.8</v>
      </c>
      <c r="K17" s="3179">
        <v>1324.82</v>
      </c>
      <c r="L17" s="3179">
        <v>31.82</v>
      </c>
      <c r="M17" s="3179" t="s">
        <v>3073</v>
      </c>
      <c r="N17" s="3179" t="s">
        <v>3034</v>
      </c>
      <c r="O17" s="3269">
        <f t="shared" si="0"/>
        <v>264.96778388782178</v>
      </c>
    </row>
    <row r="18" spans="1:15">
      <c r="A18" s="3179" t="s">
        <v>3074</v>
      </c>
      <c r="B18" s="3179" t="s">
        <v>3028</v>
      </c>
      <c r="C18" s="3179" t="s">
        <v>3029</v>
      </c>
      <c r="D18" s="3179">
        <v>4477.2700000000004</v>
      </c>
      <c r="E18" s="3179">
        <v>6715.91</v>
      </c>
      <c r="F18" s="3270" t="s">
        <v>3042</v>
      </c>
      <c r="G18" s="3179" t="s">
        <v>3031</v>
      </c>
      <c r="H18" s="3179" t="s">
        <v>3067</v>
      </c>
      <c r="I18" s="3179" t="s">
        <v>2814</v>
      </c>
      <c r="J18" s="3179">
        <v>981.12</v>
      </c>
      <c r="K18" s="3179">
        <v>1460.89</v>
      </c>
      <c r="L18" s="3179" t="s">
        <v>2814</v>
      </c>
      <c r="M18" s="3179" t="s">
        <v>3068</v>
      </c>
      <c r="N18" s="3179" t="s">
        <v>3037</v>
      </c>
      <c r="O18" s="3269">
        <f t="shared" si="0"/>
        <v>146.08975344350461</v>
      </c>
    </row>
    <row r="19" spans="1:15">
      <c r="A19" s="3179" t="s">
        <v>3075</v>
      </c>
      <c r="B19" s="3179" t="s">
        <v>3028</v>
      </c>
      <c r="C19" s="3179" t="s">
        <v>3029</v>
      </c>
      <c r="D19" s="3179">
        <v>89357.33</v>
      </c>
      <c r="E19" s="3179">
        <v>178714.7</v>
      </c>
      <c r="F19" s="3270" t="s">
        <v>3076</v>
      </c>
      <c r="G19" s="3179" t="s">
        <v>3031</v>
      </c>
      <c r="H19" s="3179" t="s">
        <v>3077</v>
      </c>
      <c r="I19" s="3179">
        <v>23188.11</v>
      </c>
      <c r="J19" s="3179">
        <v>23190</v>
      </c>
      <c r="K19" s="3179">
        <v>1297.5899999999999</v>
      </c>
      <c r="L19" s="3179">
        <v>0.01</v>
      </c>
      <c r="M19" s="3179" t="s">
        <v>3078</v>
      </c>
      <c r="N19" s="3179" t="s">
        <v>3037</v>
      </c>
      <c r="O19" s="3269">
        <f t="shared" si="0"/>
        <v>173.01409184898426</v>
      </c>
    </row>
    <row r="20" spans="1:15">
      <c r="A20" s="3179" t="s">
        <v>3079</v>
      </c>
      <c r="B20" s="3179" t="s">
        <v>3028</v>
      </c>
      <c r="C20" s="3179" t="s">
        <v>3029</v>
      </c>
      <c r="D20" s="3179">
        <v>32866.69</v>
      </c>
      <c r="E20" s="3179">
        <v>82166.73</v>
      </c>
      <c r="F20" s="3270" t="s">
        <v>3080</v>
      </c>
      <c r="G20" s="3179" t="s">
        <v>3031</v>
      </c>
      <c r="H20" s="3179" t="s">
        <v>3077</v>
      </c>
      <c r="I20" s="3179">
        <v>10648.75</v>
      </c>
      <c r="J20" s="3179">
        <v>10650</v>
      </c>
      <c r="K20" s="3179">
        <v>1296.1500000000001</v>
      </c>
      <c r="L20" s="3179">
        <v>0.01</v>
      </c>
      <c r="M20" s="3179" t="s">
        <v>3078</v>
      </c>
      <c r="N20" s="3179" t="s">
        <v>3037</v>
      </c>
      <c r="O20" s="3269">
        <f t="shared" si="0"/>
        <v>216.02526752770052</v>
      </c>
    </row>
    <row r="21" spans="1:15">
      <c r="A21" s="3179" t="s">
        <v>3081</v>
      </c>
      <c r="B21" s="3179" t="s">
        <v>3028</v>
      </c>
      <c r="C21" s="3179" t="s">
        <v>3029</v>
      </c>
      <c r="D21" s="3179">
        <v>20245.22</v>
      </c>
      <c r="E21" s="3179">
        <v>40490.44</v>
      </c>
      <c r="F21" s="3270" t="s">
        <v>3076</v>
      </c>
      <c r="G21" s="3179" t="s">
        <v>3031</v>
      </c>
      <c r="H21" s="3179" t="s">
        <v>3077</v>
      </c>
      <c r="I21" s="3179">
        <v>5253.6</v>
      </c>
      <c r="J21" s="3179">
        <v>5255</v>
      </c>
      <c r="K21" s="3179">
        <v>1297.83</v>
      </c>
      <c r="L21" s="3179">
        <v>0.03</v>
      </c>
      <c r="M21" s="3179" t="s">
        <v>3078</v>
      </c>
      <c r="N21" s="3179" t="s">
        <v>3037</v>
      </c>
      <c r="O21" s="3269">
        <f t="shared" si="0"/>
        <v>173.04582760770194</v>
      </c>
    </row>
    <row r="22" spans="1:15">
      <c r="A22" s="3179" t="s">
        <v>3082</v>
      </c>
      <c r="B22" s="3179" t="s">
        <v>3028</v>
      </c>
      <c r="C22" s="3179" t="s">
        <v>3029</v>
      </c>
      <c r="D22" s="3179">
        <v>39277.699999999997</v>
      </c>
      <c r="E22" s="3179">
        <v>78555.399999999994</v>
      </c>
      <c r="F22" s="3270" t="s">
        <v>3076</v>
      </c>
      <c r="G22" s="3179" t="s">
        <v>3031</v>
      </c>
      <c r="H22" s="3179" t="s">
        <v>3083</v>
      </c>
      <c r="I22" s="3179" t="s">
        <v>2814</v>
      </c>
      <c r="J22" s="3179">
        <v>11665.47</v>
      </c>
      <c r="K22" s="3179">
        <v>1485</v>
      </c>
      <c r="L22" s="3179" t="s">
        <v>2814</v>
      </c>
      <c r="M22" s="3179" t="s">
        <v>3084</v>
      </c>
      <c r="N22" s="3179" t="s">
        <v>3037</v>
      </c>
      <c r="O22" s="3269">
        <f t="shared" si="0"/>
        <v>198.0008728846139</v>
      </c>
    </row>
    <row r="23" spans="1:15">
      <c r="A23" s="3179" t="s">
        <v>3085</v>
      </c>
      <c r="B23" s="3179" t="s">
        <v>3028</v>
      </c>
      <c r="C23" s="3179" t="s">
        <v>3051</v>
      </c>
      <c r="D23" s="3179">
        <v>83247.759999999995</v>
      </c>
      <c r="E23" s="3179">
        <v>166495.5</v>
      </c>
      <c r="F23" s="3270" t="s">
        <v>3076</v>
      </c>
      <c r="G23" s="3179" t="s">
        <v>3053</v>
      </c>
      <c r="H23" s="3179" t="s">
        <v>3083</v>
      </c>
      <c r="I23" s="3179" t="s">
        <v>2814</v>
      </c>
      <c r="J23" s="3179">
        <v>24724.58</v>
      </c>
      <c r="K23" s="3179">
        <v>1485</v>
      </c>
      <c r="L23" s="3179" t="s">
        <v>2814</v>
      </c>
      <c r="M23" s="3179" t="s">
        <v>3084</v>
      </c>
      <c r="N23" s="3179" t="s">
        <v>3037</v>
      </c>
      <c r="O23" s="3269">
        <f t="shared" si="0"/>
        <v>198.00095220099618</v>
      </c>
    </row>
    <row r="24" spans="1:15">
      <c r="A24" s="3179" t="s">
        <v>3086</v>
      </c>
      <c r="B24" s="3179" t="s">
        <v>3028</v>
      </c>
      <c r="C24" s="3179" t="s">
        <v>3029</v>
      </c>
      <c r="D24" s="3179">
        <v>23919.13</v>
      </c>
      <c r="E24" s="3179">
        <v>47838.26</v>
      </c>
      <c r="F24" s="3270" t="s">
        <v>3076</v>
      </c>
      <c r="G24" s="3179" t="s">
        <v>3053</v>
      </c>
      <c r="H24" s="3179" t="s">
        <v>3083</v>
      </c>
      <c r="I24" s="3179" t="s">
        <v>2814</v>
      </c>
      <c r="J24" s="3179">
        <v>7893.6</v>
      </c>
      <c r="K24" s="3179">
        <v>1650.05</v>
      </c>
      <c r="L24" s="3179" t="s">
        <v>2814</v>
      </c>
      <c r="M24" s="3179" t="s">
        <v>3087</v>
      </c>
      <c r="N24" s="3179" t="s">
        <v>3037</v>
      </c>
      <c r="O24" s="3269">
        <f t="shared" si="0"/>
        <v>220.0091020032919</v>
      </c>
    </row>
    <row r="25" spans="1:15">
      <c r="A25" s="3179" t="s">
        <v>3088</v>
      </c>
      <c r="B25" s="3179" t="s">
        <v>3028</v>
      </c>
      <c r="C25" s="3179" t="s">
        <v>3029</v>
      </c>
      <c r="D25" s="3179">
        <v>19528.439999999999</v>
      </c>
      <c r="E25" s="3179">
        <v>39056.879999999997</v>
      </c>
      <c r="F25" s="3270" t="s">
        <v>3076</v>
      </c>
      <c r="G25" s="3179" t="s">
        <v>3031</v>
      </c>
      <c r="H25" s="3179" t="s">
        <v>3083</v>
      </c>
      <c r="I25" s="3179" t="s">
        <v>2814</v>
      </c>
      <c r="J25" s="3179">
        <v>5799.94</v>
      </c>
      <c r="K25" s="3179">
        <v>1485</v>
      </c>
      <c r="L25" s="3179" t="s">
        <v>2814</v>
      </c>
      <c r="M25" s="3179" t="s">
        <v>3084</v>
      </c>
      <c r="N25" s="3179" t="s">
        <v>3037</v>
      </c>
      <c r="O25" s="3269">
        <f t="shared" si="0"/>
        <v>198.00076195538404</v>
      </c>
    </row>
    <row r="26" spans="1:15">
      <c r="A26" s="3179" t="s">
        <v>3089</v>
      </c>
      <c r="B26" s="3179" t="s">
        <v>3028</v>
      </c>
      <c r="C26" s="3179" t="s">
        <v>3051</v>
      </c>
      <c r="D26" s="3179">
        <v>3524</v>
      </c>
      <c r="E26" s="3179">
        <v>15505.6</v>
      </c>
      <c r="F26" s="3270" t="s">
        <v>3090</v>
      </c>
      <c r="G26" s="3179" t="s">
        <v>3031</v>
      </c>
      <c r="H26" s="3179" t="s">
        <v>3083</v>
      </c>
      <c r="I26" s="3179" t="s">
        <v>2814</v>
      </c>
      <c r="J26" s="3179">
        <v>740.03</v>
      </c>
      <c r="K26" s="3179">
        <v>477.26</v>
      </c>
      <c r="L26" s="3179" t="s">
        <v>2814</v>
      </c>
      <c r="M26" s="3179" t="s">
        <v>3091</v>
      </c>
      <c r="N26" s="3179" t="s">
        <v>3037</v>
      </c>
      <c r="O26" s="3269">
        <f t="shared" si="0"/>
        <v>139.99880820090803</v>
      </c>
    </row>
    <row r="27" spans="1:15">
      <c r="A27" s="3179" t="s">
        <v>3092</v>
      </c>
      <c r="B27" s="3179" t="s">
        <v>3028</v>
      </c>
      <c r="C27" s="3179" t="s">
        <v>3029</v>
      </c>
      <c r="D27" s="3179">
        <v>67123.490000000005</v>
      </c>
      <c r="E27" s="3179">
        <v>167808.7</v>
      </c>
      <c r="F27" s="3270" t="s">
        <v>3080</v>
      </c>
      <c r="G27" s="3179" t="s">
        <v>3031</v>
      </c>
      <c r="H27" s="3179" t="s">
        <v>3083</v>
      </c>
      <c r="I27" s="3179" t="s">
        <v>2814</v>
      </c>
      <c r="J27" s="3179">
        <v>19935.68</v>
      </c>
      <c r="K27" s="3179">
        <v>1188</v>
      </c>
      <c r="L27" s="3179" t="s">
        <v>2814</v>
      </c>
      <c r="M27" s="3179" t="s">
        <v>3084</v>
      </c>
      <c r="N27" s="3179" t="s">
        <v>3037</v>
      </c>
      <c r="O27" s="3269">
        <f t="shared" si="0"/>
        <v>198.00102446401399</v>
      </c>
    </row>
    <row r="28" spans="1:15">
      <c r="A28" s="3179" t="s">
        <v>3093</v>
      </c>
      <c r="B28" s="3179" t="s">
        <v>3028</v>
      </c>
      <c r="C28" s="3179" t="s">
        <v>3029</v>
      </c>
      <c r="D28" s="3179">
        <v>35913.18</v>
      </c>
      <c r="E28" s="3179">
        <v>71826.36</v>
      </c>
      <c r="F28" s="3270" t="s">
        <v>3076</v>
      </c>
      <c r="G28" s="3179" t="s">
        <v>3053</v>
      </c>
      <c r="H28" s="3179" t="s">
        <v>3083</v>
      </c>
      <c r="I28" s="3179" t="s">
        <v>2814</v>
      </c>
      <c r="J28" s="3179">
        <v>10666.2</v>
      </c>
      <c r="K28" s="3179">
        <v>1485</v>
      </c>
      <c r="L28" s="3179" t="s">
        <v>2814</v>
      </c>
      <c r="M28" s="3179" t="s">
        <v>3084</v>
      </c>
      <c r="N28" s="3179" t="s">
        <v>3037</v>
      </c>
      <c r="O28" s="3269">
        <f t="shared" si="0"/>
        <v>198.00072157352815</v>
      </c>
    </row>
    <row r="29" spans="1:15">
      <c r="A29" s="3179" t="s">
        <v>3094</v>
      </c>
      <c r="B29" s="3179" t="s">
        <v>3028</v>
      </c>
      <c r="C29" s="3179" t="s">
        <v>3029</v>
      </c>
      <c r="D29" s="3179">
        <v>22072.560000000001</v>
      </c>
      <c r="E29" s="3179">
        <v>44145.120000000003</v>
      </c>
      <c r="F29" s="3270" t="s">
        <v>3076</v>
      </c>
      <c r="G29" s="3179" t="s">
        <v>3031</v>
      </c>
      <c r="H29" s="3179" t="s">
        <v>3083</v>
      </c>
      <c r="I29" s="3179" t="s">
        <v>2814</v>
      </c>
      <c r="J29" s="3179">
        <v>6555.55</v>
      </c>
      <c r="K29" s="3179">
        <v>1485</v>
      </c>
      <c r="L29" s="3179" t="s">
        <v>2814</v>
      </c>
      <c r="M29" s="3179" t="s">
        <v>3084</v>
      </c>
      <c r="N29" s="3179" t="s">
        <v>3037</v>
      </c>
      <c r="O29" s="3269">
        <f t="shared" si="0"/>
        <v>198.00098033485921</v>
      </c>
    </row>
    <row r="30" spans="1:15">
      <c r="A30" s="3179" t="s">
        <v>3095</v>
      </c>
      <c r="B30" s="3179" t="s">
        <v>3028</v>
      </c>
      <c r="C30" s="3179" t="s">
        <v>3029</v>
      </c>
      <c r="D30" s="3179">
        <v>25480</v>
      </c>
      <c r="E30" s="3179">
        <v>50960</v>
      </c>
      <c r="F30" s="3270" t="s">
        <v>3076</v>
      </c>
      <c r="G30" s="3179" t="s">
        <v>3031</v>
      </c>
      <c r="H30" s="3179" t="s">
        <v>3083</v>
      </c>
      <c r="I30" s="3179" t="s">
        <v>2814</v>
      </c>
      <c r="J30" s="3179">
        <v>7567.56</v>
      </c>
      <c r="K30" s="3179">
        <v>1485</v>
      </c>
      <c r="L30" s="3179" t="s">
        <v>2814</v>
      </c>
      <c r="M30" s="3179" t="s">
        <v>3084</v>
      </c>
      <c r="N30" s="3179" t="s">
        <v>3037</v>
      </c>
      <c r="O30" s="3269">
        <f t="shared" si="0"/>
        <v>198.00099</v>
      </c>
    </row>
    <row r="31" spans="1:15">
      <c r="A31" s="3179" t="s">
        <v>3096</v>
      </c>
      <c r="B31" s="3179" t="s">
        <v>3028</v>
      </c>
      <c r="C31" s="3179" t="s">
        <v>3029</v>
      </c>
      <c r="D31" s="3179">
        <v>38411.5</v>
      </c>
      <c r="E31" s="3179">
        <v>99869.9</v>
      </c>
      <c r="F31" s="3270" t="s">
        <v>3097</v>
      </c>
      <c r="G31" s="3179" t="s">
        <v>3031</v>
      </c>
      <c r="H31" s="3179" t="s">
        <v>3098</v>
      </c>
      <c r="I31" s="3179">
        <v>6683.92</v>
      </c>
      <c r="J31" s="3179">
        <v>6683.92</v>
      </c>
      <c r="K31" s="3179">
        <v>669.25</v>
      </c>
      <c r="L31" s="3179">
        <v>0</v>
      </c>
      <c r="M31" s="3179" t="s">
        <v>3099</v>
      </c>
      <c r="N31" s="3179" t="s">
        <v>3037</v>
      </c>
      <c r="O31" s="3269">
        <f t="shared" si="0"/>
        <v>116.00611656404982</v>
      </c>
    </row>
    <row r="32" spans="1:15">
      <c r="A32" s="3179" t="s">
        <v>3100</v>
      </c>
      <c r="B32" s="3179" t="s">
        <v>3028</v>
      </c>
      <c r="C32" s="3179" t="s">
        <v>3051</v>
      </c>
      <c r="D32" s="3179">
        <v>2077.66</v>
      </c>
      <c r="E32" s="3179">
        <v>3843.67</v>
      </c>
      <c r="F32" s="3270" t="s">
        <v>3101</v>
      </c>
      <c r="G32" s="3179" t="s">
        <v>3031</v>
      </c>
      <c r="H32" s="3179" t="s">
        <v>3102</v>
      </c>
      <c r="I32" s="3179" t="s">
        <v>2814</v>
      </c>
      <c r="J32" s="3179">
        <v>312.95</v>
      </c>
      <c r="K32" s="3179">
        <v>814.22</v>
      </c>
      <c r="L32" s="3179" t="s">
        <v>2814</v>
      </c>
      <c r="M32" s="3179" t="s">
        <v>3103</v>
      </c>
      <c r="N32" s="3179" t="s">
        <v>3037</v>
      </c>
      <c r="O32" s="3269">
        <f t="shared" si="0"/>
        <v>100.41795890569198</v>
      </c>
    </row>
    <row r="33" spans="1:15">
      <c r="A33" s="3179" t="s">
        <v>3104</v>
      </c>
      <c r="B33" s="3179" t="s">
        <v>3028</v>
      </c>
      <c r="C33" s="3179" t="s">
        <v>3029</v>
      </c>
      <c r="D33" s="3179">
        <v>44558</v>
      </c>
      <c r="E33" s="3179">
        <v>89116</v>
      </c>
      <c r="F33" s="3270" t="s">
        <v>3105</v>
      </c>
      <c r="G33" s="3179" t="s">
        <v>3031</v>
      </c>
      <c r="H33" s="3179" t="s">
        <v>3106</v>
      </c>
      <c r="I33" s="3179" t="s">
        <v>2814</v>
      </c>
      <c r="J33" s="3179">
        <v>6684</v>
      </c>
      <c r="K33" s="3179">
        <v>750.02</v>
      </c>
      <c r="L33" s="3179" t="s">
        <v>2814</v>
      </c>
      <c r="M33" s="3179" t="s">
        <v>3107</v>
      </c>
      <c r="N33" s="3179" t="s">
        <v>3037</v>
      </c>
      <c r="O33" s="3269">
        <f t="shared" si="0"/>
        <v>100.00498855424391</v>
      </c>
    </row>
    <row r="34" spans="1:15">
      <c r="A34" s="3179" t="s">
        <v>3108</v>
      </c>
      <c r="B34" s="3179" t="s">
        <v>3028</v>
      </c>
      <c r="C34" s="3179" t="s">
        <v>3029</v>
      </c>
      <c r="D34" s="3179">
        <v>26335</v>
      </c>
      <c r="E34" s="3179">
        <v>52670</v>
      </c>
      <c r="F34" s="3270" t="s">
        <v>3105</v>
      </c>
      <c r="G34" s="3179" t="s">
        <v>3031</v>
      </c>
      <c r="H34" s="3179" t="s">
        <v>3106</v>
      </c>
      <c r="I34" s="3179" t="s">
        <v>2814</v>
      </c>
      <c r="J34" s="3179">
        <v>3950</v>
      </c>
      <c r="K34" s="3179">
        <v>749.95</v>
      </c>
      <c r="L34" s="3179" t="s">
        <v>2814</v>
      </c>
      <c r="M34" s="3179" t="s">
        <v>3107</v>
      </c>
      <c r="N34" s="3179" t="s">
        <v>3037</v>
      </c>
      <c r="O34" s="3269">
        <f t="shared" si="0"/>
        <v>99.994171254983854</v>
      </c>
    </row>
    <row r="35" spans="1:15">
      <c r="A35" s="3179" t="s">
        <v>3109</v>
      </c>
      <c r="B35" s="3179" t="s">
        <v>3028</v>
      </c>
      <c r="C35" s="3179" t="s">
        <v>3029</v>
      </c>
      <c r="D35" s="3179">
        <v>6375</v>
      </c>
      <c r="E35" s="3179">
        <v>27795</v>
      </c>
      <c r="F35" s="3270" t="s">
        <v>3110</v>
      </c>
      <c r="G35" s="3179" t="s">
        <v>3031</v>
      </c>
      <c r="H35" s="3179" t="s">
        <v>3111</v>
      </c>
      <c r="I35" s="3179">
        <v>1185.74</v>
      </c>
      <c r="J35" s="3179">
        <v>1185.75</v>
      </c>
      <c r="K35" s="3179">
        <v>426.61</v>
      </c>
      <c r="L35" s="3179">
        <v>0</v>
      </c>
      <c r="M35" s="3179" t="s">
        <v>3112</v>
      </c>
      <c r="N35" s="3179" t="s">
        <v>3037</v>
      </c>
      <c r="O35" s="3269">
        <f t="shared" si="0"/>
        <v>124.00061999999998</v>
      </c>
    </row>
  </sheetData>
  <phoneticPr fontId="233" type="noConversion"/>
  <pageMargins left="0.75" right="0.75" top="1" bottom="1" header="0.5" footer="0.5"/>
  <pageSetup orientation="portrait" horizontalDpi="300" verticalDpi="300"/>
  <headerFooter alignWithMargins="0"/>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rgb="FF92D050"/>
    <pageSetUpPr fitToPage="1"/>
  </sheetPr>
  <dimension ref="A1:Y94"/>
  <sheetViews>
    <sheetView topLeftCell="A28" zoomScale="70" zoomScaleNormal="70" workbookViewId="0">
      <selection activeCell="J50" sqref="J50"/>
    </sheetView>
  </sheetViews>
  <sheetFormatPr defaultColWidth="9" defaultRowHeight="15"/>
  <cols>
    <col min="1" max="1" width="9" style="2081" customWidth="1"/>
    <col min="2" max="2" width="20.6640625" style="2082" customWidth="1"/>
    <col min="3" max="3" width="11.88671875" style="2082" customWidth="1"/>
    <col min="4" max="4" width="40.44140625" style="2043" customWidth="1"/>
    <col min="5" max="5" width="15.77734375" style="2043" customWidth="1"/>
    <col min="6" max="6" width="10.6640625" style="2043" customWidth="1"/>
    <col min="7" max="7" width="4.88671875" style="2043" customWidth="1"/>
    <col min="8" max="8" width="8.44140625" style="2043" customWidth="1"/>
    <col min="9" max="9" width="21.21875" style="2043" customWidth="1"/>
    <col min="10" max="10" width="12.21875" style="2043" customWidth="1"/>
    <col min="11" max="11" width="40.109375" style="2083" customWidth="1"/>
    <col min="12" max="12" width="18.33203125" style="2043" customWidth="1"/>
    <col min="13" max="13" width="13" style="2043" customWidth="1"/>
    <col min="14" max="14" width="9.44140625" style="2042" bestFit="1" customWidth="1"/>
    <col min="15" max="15" width="8.33203125" style="2042" customWidth="1"/>
    <col min="16" max="16" width="30.21875" style="2042" customWidth="1"/>
    <col min="17" max="17" width="13.77734375" style="2042" customWidth="1"/>
    <col min="18" max="18" width="22.21875" style="2042" customWidth="1"/>
    <col min="19" max="19" width="1.44140625" style="2042" customWidth="1"/>
    <col min="20" max="25" width="9" style="2042"/>
    <col min="26" max="16384" width="9" style="2043"/>
  </cols>
  <sheetData>
    <row r="1" spans="1:25" s="2037" customFormat="1" ht="21.6">
      <c r="A1" s="772" t="s">
        <v>628</v>
      </c>
      <c r="B1" s="738"/>
      <c r="C1" s="773" t="s">
        <v>3132</v>
      </c>
      <c r="D1" s="2033"/>
      <c r="E1" s="2349" t="s">
        <v>2371</v>
      </c>
      <c r="F1" s="2350">
        <f ca="1">J54</f>
        <v>0</v>
      </c>
      <c r="G1" s="774">
        <f>MATCH(C1,'数据-取费表'!A6:A16,0)+5</f>
        <v>8</v>
      </c>
      <c r="H1" s="1346"/>
      <c r="I1" s="2034"/>
      <c r="J1" s="2034"/>
      <c r="K1" s="2035"/>
      <c r="L1" s="2034"/>
      <c r="M1" s="2034"/>
      <c r="N1" s="2036"/>
      <c r="O1" s="2036"/>
      <c r="P1" s="2036"/>
      <c r="Q1" s="2036"/>
      <c r="R1" s="2036"/>
      <c r="S1" s="2036"/>
      <c r="T1" s="2036"/>
      <c r="U1" s="2036"/>
      <c r="V1" s="2036"/>
      <c r="W1" s="2036"/>
      <c r="X1" s="2036"/>
      <c r="Y1" s="2036"/>
    </row>
    <row r="2" spans="1:25" ht="18" customHeight="1">
      <c r="A2" s="1629" t="s">
        <v>629</v>
      </c>
      <c r="B2" s="775">
        <f ca="1">IF(ISERROR(C45+J31),0,C45+J31)</f>
        <v>7437</v>
      </c>
      <c r="C2" s="1347"/>
      <c r="D2" s="2038"/>
      <c r="E2" s="2039"/>
      <c r="F2" s="2039"/>
      <c r="G2" s="1576"/>
      <c r="H2" s="1359"/>
      <c r="I2" s="2040"/>
      <c r="J2" s="2040"/>
      <c r="K2" s="2041"/>
      <c r="L2" s="2040"/>
      <c r="M2" s="2040"/>
    </row>
    <row r="3" spans="1:25" ht="18" customHeight="1">
      <c r="A3" s="1630" t="s">
        <v>1685</v>
      </c>
      <c r="B3" s="1387">
        <f ca="1">ROUND(B2*10000/'数据-汇总表'!E3,0)</f>
        <v>443</v>
      </c>
      <c r="C3" s="1347"/>
      <c r="D3" s="2038"/>
      <c r="E3" s="2039"/>
      <c r="F3" s="2039"/>
      <c r="G3" s="1576"/>
      <c r="H3" s="776" t="s">
        <v>695</v>
      </c>
      <c r="I3" s="2040"/>
      <c r="J3" s="2040"/>
      <c r="K3" s="2041"/>
      <c r="L3" s="2040"/>
      <c r="M3" s="2040"/>
    </row>
    <row r="4" spans="1:25" ht="18" customHeight="1">
      <c r="A4" s="1631" t="s">
        <v>696</v>
      </c>
      <c r="B4" s="1348">
        <f ca="1">ROUND(B2*10000/'数据-汇总表'!D3,0)</f>
        <v>3332</v>
      </c>
      <c r="C4" s="428"/>
      <c r="D4" s="2038"/>
      <c r="E4" s="2039"/>
      <c r="F4" s="2039"/>
      <c r="G4" s="1576"/>
      <c r="H4" s="776"/>
      <c r="I4" s="2040"/>
      <c r="J4" s="2040"/>
      <c r="K4" s="2041"/>
      <c r="L4" s="2040"/>
      <c r="M4" s="2040"/>
    </row>
    <row r="5" spans="1:25" ht="18" customHeight="1" thickBot="1">
      <c r="A5" s="1632"/>
      <c r="B5" s="430">
        <f ca="1">ROUND(B2/('数据-汇总表'!D3/666.67),0)</f>
        <v>222</v>
      </c>
      <c r="C5" s="431" t="s">
        <v>697</v>
      </c>
      <c r="D5" s="2038"/>
      <c r="E5" s="2039"/>
      <c r="F5" s="2039"/>
      <c r="G5" s="1576"/>
      <c r="H5" s="776"/>
      <c r="I5" s="2040"/>
      <c r="J5" s="2040"/>
      <c r="K5" s="2041"/>
      <c r="L5" s="2040"/>
      <c r="M5" s="2040"/>
    </row>
    <row r="6" spans="1:25" ht="18" customHeight="1">
      <c r="A6" s="1811" t="s">
        <v>698</v>
      </c>
      <c r="B6" s="1803" t="s">
        <v>699</v>
      </c>
      <c r="C6" s="1803" t="s">
        <v>632</v>
      </c>
      <c r="D6" s="1803" t="s">
        <v>633</v>
      </c>
      <c r="E6" s="779" t="s">
        <v>634</v>
      </c>
      <c r="F6" s="780"/>
      <c r="G6" s="1578"/>
      <c r="H6" s="1811" t="s">
        <v>630</v>
      </c>
      <c r="I6" s="1803" t="s">
        <v>631</v>
      </c>
      <c r="J6" s="1803" t="s">
        <v>632</v>
      </c>
      <c r="K6" s="1803" t="s">
        <v>633</v>
      </c>
      <c r="L6" s="779" t="s">
        <v>634</v>
      </c>
      <c r="M6" s="780"/>
    </row>
    <row r="7" spans="1:25" ht="18" customHeight="1">
      <c r="A7" s="781">
        <v>1</v>
      </c>
      <c r="B7" s="782" t="s">
        <v>2455</v>
      </c>
      <c r="C7" s="53">
        <f ca="1">C8+C12+C14</f>
        <v>1638</v>
      </c>
      <c r="D7" s="2458" t="s">
        <v>2458</v>
      </c>
      <c r="E7" s="2452"/>
      <c r="F7" s="2453"/>
      <c r="G7" s="1578"/>
      <c r="H7" s="781">
        <v>1</v>
      </c>
      <c r="I7" s="782" t="s">
        <v>2455</v>
      </c>
      <c r="J7" s="53">
        <f ca="1">J8+J12+J14</f>
        <v>0</v>
      </c>
      <c r="K7" s="2458" t="s">
        <v>2458</v>
      </c>
      <c r="L7" s="2452"/>
      <c r="M7" s="2453"/>
    </row>
    <row r="8" spans="1:25" ht="18" customHeight="1">
      <c r="A8" s="1813" t="s">
        <v>1823</v>
      </c>
      <c r="B8" s="3584" t="s">
        <v>2460</v>
      </c>
      <c r="C8" s="1808">
        <f ca="1">ROUND(F8*F10*F9*(1-F11)/10000,0)</f>
        <v>1636</v>
      </c>
      <c r="D8" s="1805" t="s">
        <v>2531</v>
      </c>
      <c r="E8" s="61" t="s">
        <v>637</v>
      </c>
      <c r="F8" s="785">
        <f ca="1">INDIRECT("'数据-取费表'!u"&amp;$G$1)</f>
        <v>1.64</v>
      </c>
      <c r="G8" s="1578"/>
      <c r="H8" s="2466" t="s">
        <v>1823</v>
      </c>
      <c r="I8" s="3584" t="s">
        <v>2460</v>
      </c>
      <c r="J8" s="783">
        <f ca="1">ROUND(M8*M10*M9*(1-M11)/10000,0)</f>
        <v>0</v>
      </c>
      <c r="K8" s="341" t="s">
        <v>2531</v>
      </c>
      <c r="L8" s="784" t="s">
        <v>1737</v>
      </c>
      <c r="M8" s="785">
        <f ca="1">INDIRECT("'数据-取费表'!z"&amp;$G$1)</f>
        <v>0</v>
      </c>
    </row>
    <row r="9" spans="1:25" ht="18" customHeight="1">
      <c r="A9" s="2462"/>
      <c r="B9" s="3585"/>
      <c r="C9" s="1809"/>
      <c r="D9" s="1806"/>
      <c r="E9" s="61" t="s">
        <v>638</v>
      </c>
      <c r="F9" s="785">
        <f ca="1">IF(INDIRECT("'数据-取费表'!ah"&amp;$G$1)="",INDIRECT("'数据-取费表'!k"&amp;$G$1),INDIRECT("'数据-取费表'!ah"&amp;$G$1))</f>
        <v>32157.53</v>
      </c>
      <c r="G9" s="1578"/>
      <c r="H9" s="2451"/>
      <c r="I9" s="3585"/>
      <c r="J9" s="788"/>
      <c r="K9" s="789"/>
      <c r="L9" s="784" t="s">
        <v>1738</v>
      </c>
      <c r="M9" s="785">
        <f ca="1">F9</f>
        <v>32157.53</v>
      </c>
    </row>
    <row r="10" spans="1:25" ht="18" customHeight="1">
      <c r="A10" s="2455"/>
      <c r="B10" s="3586"/>
      <c r="C10" s="1809"/>
      <c r="D10" s="1806"/>
      <c r="E10" s="61" t="s">
        <v>639</v>
      </c>
      <c r="F10" s="785">
        <f ca="1">INDIRECT("'数据-取费表'!ai"&amp;$G$1)</f>
        <v>365</v>
      </c>
      <c r="G10" s="1578"/>
      <c r="H10" s="2451"/>
      <c r="I10" s="3586"/>
      <c r="J10" s="788"/>
      <c r="K10" s="789"/>
      <c r="L10" s="784" t="s">
        <v>1739</v>
      </c>
      <c r="M10" s="785">
        <f ca="1">INDIRECT("'数据-取费表'!ai"&amp;$G$1)</f>
        <v>365</v>
      </c>
    </row>
    <row r="11" spans="1:25" ht="18" customHeight="1">
      <c r="A11" s="786"/>
      <c r="B11" s="3587"/>
      <c r="C11" s="1809"/>
      <c r="D11" s="1806"/>
      <c r="E11" s="61" t="s">
        <v>640</v>
      </c>
      <c r="F11" s="794">
        <f ca="1">INDIRECT("'数据-取费表'!w"&amp;$G$1)</f>
        <v>0.15</v>
      </c>
      <c r="G11" s="1578"/>
      <c r="H11" s="2467"/>
      <c r="I11" s="3586"/>
      <c r="J11" s="788"/>
      <c r="K11" s="789"/>
      <c r="L11" s="795" t="s">
        <v>1740</v>
      </c>
      <c r="M11" s="796">
        <f ca="1">INDIRECT("'数据-取费表'!ab"&amp;$G$1)</f>
        <v>0</v>
      </c>
    </row>
    <row r="12" spans="1:25" ht="18" customHeight="1">
      <c r="A12" s="1813" t="s">
        <v>1824</v>
      </c>
      <c r="B12" s="2456" t="s">
        <v>2456</v>
      </c>
      <c r="C12" s="799">
        <f ca="1">ROUND(IF(F12="押一",C8/12*F13,IF(F12="押二",C8/12*2*F13,IF(F12="押三",C8/12*3*F13,C13*F13))),0)</f>
        <v>2</v>
      </c>
      <c r="D12" s="2463" t="s">
        <v>2967</v>
      </c>
      <c r="E12" s="2460" t="s">
        <v>2461</v>
      </c>
      <c r="F12" s="2583" t="s">
        <v>3185</v>
      </c>
      <c r="G12" s="1578"/>
      <c r="H12" s="2523" t="s">
        <v>1824</v>
      </c>
      <c r="I12" s="2528" t="s">
        <v>2456</v>
      </c>
      <c r="J12" s="783">
        <f ca="1">ROUND(IF(M12="押一",J8/12*M13,IF(M12="押二",J8/12*2*M13,IF(M12="押三",J8/12*3*M13,J13*M13))),0)</f>
        <v>0</v>
      </c>
      <c r="K12" s="2463" t="s">
        <v>2967</v>
      </c>
      <c r="L12" s="2460" t="s">
        <v>2461</v>
      </c>
      <c r="M12" s="2583"/>
    </row>
    <row r="13" spans="1:25" ht="18" customHeight="1">
      <c r="A13" s="790"/>
      <c r="B13" s="2457" t="s">
        <v>2570</v>
      </c>
      <c r="C13" s="2461"/>
      <c r="D13" s="789"/>
      <c r="E13" s="2460" t="s">
        <v>2453</v>
      </c>
      <c r="F13" s="796">
        <f ca="1">'数据-取费表'!B39</f>
        <v>1.4999999999999999E-2</v>
      </c>
      <c r="G13" s="1578"/>
      <c r="H13" s="2524"/>
      <c r="I13" s="2457" t="s">
        <v>2570</v>
      </c>
      <c r="J13" s="2461"/>
      <c r="K13" s="2525"/>
      <c r="L13" s="2460" t="s">
        <v>2453</v>
      </c>
      <c r="M13" s="2454">
        <f ca="1">'数据-取费表'!B39</f>
        <v>1.4999999999999999E-2</v>
      </c>
    </row>
    <row r="14" spans="1:25" ht="18" customHeight="1" thickBot="1">
      <c r="A14" s="2499" t="s">
        <v>2464</v>
      </c>
      <c r="B14" s="2500" t="s">
        <v>2457</v>
      </c>
      <c r="C14" s="2501"/>
      <c r="D14" s="2502"/>
      <c r="E14" s="2503"/>
      <c r="F14" s="2504"/>
      <c r="G14" s="1578"/>
      <c r="H14" s="2513" t="s">
        <v>2464</v>
      </c>
      <c r="I14" s="2526" t="s">
        <v>2457</v>
      </c>
      <c r="J14" s="2527"/>
      <c r="K14" s="2502"/>
      <c r="L14" s="2503"/>
      <c r="M14" s="2516"/>
    </row>
    <row r="15" spans="1:25" ht="18" customHeight="1" thickTop="1">
      <c r="A15" s="1812" t="s">
        <v>1873</v>
      </c>
      <c r="B15" s="1810" t="s">
        <v>641</v>
      </c>
      <c r="C15" s="792">
        <f ca="1">ROUND(C31*F15,0)</f>
        <v>9080</v>
      </c>
      <c r="D15" s="1817" t="s">
        <v>642</v>
      </c>
      <c r="E15" s="795" t="s">
        <v>643</v>
      </c>
      <c r="F15" s="800">
        <f ca="1">INDIRECT("'数据-取费表'!y"&amp;$G$1)</f>
        <v>1</v>
      </c>
      <c r="G15" s="1578"/>
      <c r="H15" s="1812" t="s">
        <v>1825</v>
      </c>
      <c r="I15" s="1810" t="s">
        <v>644</v>
      </c>
      <c r="J15" s="1802">
        <f ca="1">ROUND(J16*J17,0)</f>
        <v>0</v>
      </c>
      <c r="K15" s="1804" t="s">
        <v>642</v>
      </c>
      <c r="L15" s="801"/>
      <c r="M15" s="802"/>
    </row>
    <row r="16" spans="1:25" ht="18" customHeight="1">
      <c r="A16" s="803" t="s">
        <v>1874</v>
      </c>
      <c r="B16" s="784" t="s">
        <v>645</v>
      </c>
      <c r="C16" s="804">
        <f ca="1">INDIRECT("'数据-取费表'!m"&amp;$G$1)+INDIRECT("'数据-取费表'!t"&amp;$G$1)</f>
        <v>5939</v>
      </c>
      <c r="D16" s="1962" t="s">
        <v>646</v>
      </c>
      <c r="E16" s="1963"/>
      <c r="F16" s="805"/>
      <c r="G16" s="1578"/>
      <c r="H16" s="803" t="s">
        <v>2066</v>
      </c>
      <c r="I16" s="2214" t="s">
        <v>2821</v>
      </c>
      <c r="J16" s="53">
        <f ca="1">C31</f>
        <v>9080</v>
      </c>
      <c r="K16" s="26"/>
      <c r="L16" s="801"/>
      <c r="M16" s="802"/>
    </row>
    <row r="17" spans="1:25" s="2047" customFormat="1" ht="18" customHeight="1">
      <c r="A17" s="803" t="s">
        <v>1848</v>
      </c>
      <c r="B17" s="784" t="s">
        <v>647</v>
      </c>
      <c r="C17" s="53">
        <f ca="1">ROUND(C16*F17,0)</f>
        <v>178</v>
      </c>
      <c r="D17" s="806" t="s">
        <v>648</v>
      </c>
      <c r="E17" s="806" t="s">
        <v>649</v>
      </c>
      <c r="F17" s="807">
        <f>'数据-取费表'!B33</f>
        <v>0.03</v>
      </c>
      <c r="G17" s="1579"/>
      <c r="H17" s="803" t="s">
        <v>2067</v>
      </c>
      <c r="I17" s="784" t="s">
        <v>643</v>
      </c>
      <c r="J17" s="808">
        <f ca="1">INDIRECT("'数据-取费表'!ad"&amp;$G$1)</f>
        <v>0</v>
      </c>
      <c r="K17" s="26"/>
      <c r="L17" s="801"/>
      <c r="M17" s="802"/>
      <c r="N17" s="2046"/>
      <c r="O17" s="2046"/>
      <c r="P17" s="2046"/>
      <c r="Q17" s="2046"/>
      <c r="R17" s="2046"/>
      <c r="S17" s="2046"/>
      <c r="T17" s="2046"/>
      <c r="U17" s="2046"/>
      <c r="V17" s="2046"/>
      <c r="W17" s="2046"/>
      <c r="X17" s="2046"/>
      <c r="Y17" s="2046"/>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78"/>
      <c r="H18" s="797" t="s">
        <v>1826</v>
      </c>
      <c r="I18" s="798" t="s">
        <v>651</v>
      </c>
      <c r="J18" s="799">
        <f ca="1">ROUND(J19+J24+J25+J26,0)</f>
        <v>900</v>
      </c>
      <c r="K18" s="26" t="s">
        <v>652</v>
      </c>
      <c r="L18" s="1965"/>
      <c r="M18" s="56"/>
    </row>
    <row r="19" spans="1:25" s="2047" customFormat="1" ht="18" customHeight="1">
      <c r="A19" s="803" t="s">
        <v>1850</v>
      </c>
      <c r="B19" s="784" t="s">
        <v>653</v>
      </c>
      <c r="C19" s="53">
        <f ca="1">ROUND(F19*(INDIRECT("'数据-取费表'!k"&amp;$G$1)+INDIRECT("'数据-取费表'!S"&amp;$G$1))/10000,0)</f>
        <v>660</v>
      </c>
      <c r="D19" s="784" t="s">
        <v>654</v>
      </c>
      <c r="E19" s="784" t="s">
        <v>655</v>
      </c>
      <c r="F19" s="56">
        <f>'数据-取费表'!B35</f>
        <v>200</v>
      </c>
      <c r="G19" s="1579"/>
      <c r="H19" s="803" t="s">
        <v>2066</v>
      </c>
      <c r="I19" s="784" t="s">
        <v>656</v>
      </c>
      <c r="J19" s="53">
        <f ca="1">ROUND(IF(项目基本情况!B11="自然人",J8*M19/(1+'数据-取费表'!C42),J20+J21+J22),0)</f>
        <v>764</v>
      </c>
      <c r="K19" s="1962" t="s">
        <v>657</v>
      </c>
      <c r="L19" s="1960" t="s">
        <v>658</v>
      </c>
      <c r="M19" s="810"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3" t="s">
        <v>1851</v>
      </c>
      <c r="B20" s="784" t="s">
        <v>659</v>
      </c>
      <c r="C20" s="53">
        <f ca="1">ROUND(C16*F20,0)</f>
        <v>89</v>
      </c>
      <c r="D20" s="784" t="s">
        <v>648</v>
      </c>
      <c r="E20" s="784" t="s">
        <v>649</v>
      </c>
      <c r="F20" s="809">
        <f>'数据-取费表'!B36</f>
        <v>1.4999999999999999E-2</v>
      </c>
      <c r="G20" s="1579"/>
      <c r="H20" s="803" t="s">
        <v>1830</v>
      </c>
      <c r="I20" s="784" t="s">
        <v>660</v>
      </c>
      <c r="J20" s="53">
        <f ca="1">ROUND(J8*M20/(1+'数据-取费表'!C42),1)</f>
        <v>0</v>
      </c>
      <c r="K20" s="1960" t="s">
        <v>661</v>
      </c>
      <c r="L20" s="784" t="s">
        <v>649</v>
      </c>
      <c r="M20" s="809">
        <f>'数据-取费表'!B41</f>
        <v>5.5000000000000007E-2</v>
      </c>
      <c r="N20" s="2046"/>
      <c r="O20" s="2046"/>
      <c r="P20" s="2046"/>
      <c r="Q20" s="2046"/>
      <c r="R20" s="2046"/>
      <c r="S20" s="2046"/>
      <c r="T20" s="2046"/>
      <c r="U20" s="2046"/>
      <c r="V20" s="2046"/>
      <c r="W20" s="2046"/>
      <c r="X20" s="2046"/>
      <c r="Y20" s="2046"/>
    </row>
    <row r="21" spans="1:25" ht="18" customHeight="1">
      <c r="A21" s="803" t="s">
        <v>1875</v>
      </c>
      <c r="B21" s="784" t="s">
        <v>662</v>
      </c>
      <c r="C21" s="53">
        <f ca="1">SUM(C16:C20)</f>
        <v>6866</v>
      </c>
      <c r="D21" s="261" t="s">
        <v>663</v>
      </c>
      <c r="E21" s="1965"/>
      <c r="F21" s="56"/>
      <c r="G21" s="1578"/>
      <c r="H21" s="1813" t="s">
        <v>1848</v>
      </c>
      <c r="I21" s="784" t="s">
        <v>664</v>
      </c>
      <c r="J21" s="53">
        <f ca="1">IF(K21="按租金收入计税",ROUND(J8*M21/(1+'数据-取费表'!C42),1),ROUND(C31*F35*0.7,1))</f>
        <v>762.7</v>
      </c>
      <c r="K21" s="811" t="s">
        <v>665</v>
      </c>
      <c r="L21" s="784" t="s">
        <v>649</v>
      </c>
      <c r="M21" s="809">
        <f>IF(K21="按租金收入计税",'数据-取费表'!B51,'数据-取费表'!B50)</f>
        <v>1.2E-2</v>
      </c>
    </row>
    <row r="22" spans="1:25" s="2047" customFormat="1" ht="18" customHeight="1">
      <c r="A22" s="803" t="s">
        <v>1876</v>
      </c>
      <c r="B22" s="784" t="s">
        <v>666</v>
      </c>
      <c r="C22" s="53">
        <f ca="1">ROUND(C21*F22,0)</f>
        <v>137</v>
      </c>
      <c r="D22" s="812" t="s">
        <v>667</v>
      </c>
      <c r="E22" s="784" t="s">
        <v>649</v>
      </c>
      <c r="F22" s="809">
        <f>'数据-取费表'!B37</f>
        <v>0.02</v>
      </c>
      <c r="G22" s="1579"/>
      <c r="H22" s="1815" t="s">
        <v>1849</v>
      </c>
      <c r="I22" s="1805" t="s">
        <v>668</v>
      </c>
      <c r="J22" s="54">
        <f ca="1">ROUND(M22*M23/10000,0)</f>
        <v>1</v>
      </c>
      <c r="K22" s="814" t="s">
        <v>669</v>
      </c>
      <c r="L22" s="784" t="s">
        <v>670</v>
      </c>
      <c r="M22" s="640">
        <f>'数据-取费表'!B52</f>
        <v>3</v>
      </c>
      <c r="N22" s="2046"/>
      <c r="O22" s="2046"/>
      <c r="P22" s="2046"/>
      <c r="Q22" s="2046"/>
      <c r="R22" s="2046"/>
      <c r="S22" s="2046"/>
      <c r="T22" s="2046"/>
      <c r="U22" s="2046"/>
      <c r="V22" s="2046"/>
      <c r="W22" s="2046"/>
      <c r="X22" s="2046"/>
      <c r="Y22" s="2046"/>
    </row>
    <row r="23" spans="1:25" s="2047" customFormat="1" ht="18" customHeight="1">
      <c r="A23" s="803" t="s">
        <v>1877</v>
      </c>
      <c r="B23" s="784" t="s">
        <v>671</v>
      </c>
      <c r="C23" s="53" t="s">
        <v>1</v>
      </c>
      <c r="D23" s="812" t="s">
        <v>672</v>
      </c>
      <c r="E23" s="784" t="s">
        <v>673</v>
      </c>
      <c r="F23" s="809">
        <f>'数据-取费表'!B38</f>
        <v>0.02</v>
      </c>
      <c r="G23" s="1579"/>
      <c r="H23" s="1816"/>
      <c r="I23" s="1807"/>
      <c r="J23" s="69"/>
      <c r="K23" s="816"/>
      <c r="L23" s="784" t="s">
        <v>674</v>
      </c>
      <c r="M23" s="785">
        <f ca="1">INDIRECT("'数据-取费表'!r"&amp;$G$1)</f>
        <v>4386.9900000000007</v>
      </c>
      <c r="N23" s="2046"/>
      <c r="O23" s="2046"/>
      <c r="P23" s="2046"/>
      <c r="Q23" s="2046"/>
      <c r="R23" s="2046"/>
      <c r="S23" s="2046"/>
      <c r="T23" s="2046"/>
      <c r="U23" s="2046"/>
      <c r="V23" s="2046"/>
      <c r="W23" s="2046"/>
      <c r="X23" s="2046"/>
      <c r="Y23" s="2046"/>
    </row>
    <row r="24" spans="1:25" ht="18" customHeight="1">
      <c r="A24" s="803" t="s">
        <v>1878</v>
      </c>
      <c r="B24" s="784" t="s">
        <v>675</v>
      </c>
      <c r="C24" s="53"/>
      <c r="D24" s="2534" t="str">
        <f>IF(F25&lt;=1,"单利计息。","复利计息。")&amp;"建造成本、管理费用、销售费用产生的利息。"</f>
        <v>复利计息。建造成本、管理费用、销售费用产生的利息。</v>
      </c>
      <c r="E24" s="1965"/>
      <c r="F24" s="56"/>
      <c r="G24" s="1578"/>
      <c r="H24" s="1814" t="s">
        <v>2067</v>
      </c>
      <c r="I24" s="784" t="s">
        <v>676</v>
      </c>
      <c r="J24" s="53">
        <f ca="1">ROUND(J16*M24,0)</f>
        <v>136</v>
      </c>
      <c r="K24" s="1960" t="s">
        <v>677</v>
      </c>
      <c r="L24" s="784" t="s">
        <v>649</v>
      </c>
      <c r="M24" s="817">
        <f ca="1">INDIRECT("'数据-取费表'!Ak"&amp;$G$1)</f>
        <v>1.4999999999999999E-2</v>
      </c>
    </row>
    <row r="25" spans="1:25" s="2047" customFormat="1" ht="18" customHeight="1">
      <c r="A25" s="803" t="s">
        <v>1874</v>
      </c>
      <c r="B25" s="784" t="s">
        <v>2434</v>
      </c>
      <c r="C25" s="53">
        <f ca="1">ROUND(IF('数据-取费表'!B22&lt;=1,(C21+C22)*F26*F25/2,(C21+C22)*(POWER((1+F26),F25/2)-1)),0)</f>
        <v>333</v>
      </c>
      <c r="D25" s="2533" t="str">
        <f>IF(F25&lt;=1,"(建造成本+管理费用)×利率×(建设周期÷2)","(建造成本+管理费用)×((1+利率)^(建设周期÷2)-1)")</f>
        <v>(建造成本+管理费用)×((1+利率)^(建设周期÷2)-1)</v>
      </c>
      <c r="E25" s="784" t="s">
        <v>678</v>
      </c>
      <c r="F25" s="640">
        <f>'数据-取费表'!B20</f>
        <v>2</v>
      </c>
      <c r="G25" s="1579"/>
      <c r="H25" s="803" t="s">
        <v>1877</v>
      </c>
      <c r="I25" s="784" t="s">
        <v>679</v>
      </c>
      <c r="J25" s="53">
        <f ca="1">ROUND(J15*M25,0)</f>
        <v>0</v>
      </c>
      <c r="K25" s="1960" t="s">
        <v>680</v>
      </c>
      <c r="L25" s="784" t="s">
        <v>649</v>
      </c>
      <c r="M25" s="818">
        <f ca="1">INDIRECT("'数据-取费表'!Al"&amp;$G$1)</f>
        <v>1.5E-3</v>
      </c>
      <c r="N25" s="2046"/>
      <c r="O25" s="2046"/>
      <c r="P25" s="2046"/>
      <c r="Q25" s="2046"/>
      <c r="R25" s="2046"/>
      <c r="S25" s="2046"/>
      <c r="T25" s="2046"/>
      <c r="U25" s="2046"/>
      <c r="V25" s="2046"/>
      <c r="W25" s="2046"/>
      <c r="X25" s="2046"/>
      <c r="Y25" s="2046"/>
    </row>
    <row r="26" spans="1:25" s="2047" customFormat="1" ht="18" customHeight="1">
      <c r="A26" s="803" t="s">
        <v>1848</v>
      </c>
      <c r="B26" s="784" t="s">
        <v>681</v>
      </c>
      <c r="C26" s="53">
        <f ca="1">ROUND(IF('数据-取费表'!B22&lt;=1,F23*F26*F25/2,F23*(POWER((1+F26),F25/2)-1)),4)</f>
        <v>1E-3</v>
      </c>
      <c r="D26" s="2533" t="str">
        <f>IF(F25&lt;=1,"销售费用×利率×(建设周期÷2)","销售费用×((1+利率)^(建设周期÷2)-1)")</f>
        <v>销售费用×((1+利率)^(建设周期÷2)-1)</v>
      </c>
      <c r="E26" s="784" t="s">
        <v>682</v>
      </c>
      <c r="F26" s="819">
        <f ca="1">'数据-取费表'!B40</f>
        <v>4.7500000000000001E-2</v>
      </c>
      <c r="G26" s="1579"/>
      <c r="H26" s="803" t="s">
        <v>1878</v>
      </c>
      <c r="I26" s="784" t="s">
        <v>666</v>
      </c>
      <c r="J26" s="53">
        <f ca="1">ROUND(J7*M26,0)</f>
        <v>0</v>
      </c>
      <c r="K26" s="1960" t="s">
        <v>683</v>
      </c>
      <c r="L26" s="784" t="s">
        <v>649</v>
      </c>
      <c r="M26" s="794">
        <f ca="1">INDIRECT("'数据-取费表'!Am"&amp;$G$1)</f>
        <v>0.01</v>
      </c>
      <c r="N26" s="2046"/>
      <c r="O26" s="2046"/>
      <c r="P26" s="2046"/>
      <c r="Q26" s="2046"/>
      <c r="R26" s="2046"/>
      <c r="S26" s="2046"/>
      <c r="T26" s="2046"/>
      <c r="U26" s="2046"/>
      <c r="V26" s="2046"/>
      <c r="W26" s="2046"/>
      <c r="X26" s="2046"/>
      <c r="Y26" s="2046"/>
    </row>
    <row r="27" spans="1:25" ht="18" customHeight="1">
      <c r="A27" s="803" t="s">
        <v>1880</v>
      </c>
      <c r="B27" s="784" t="s">
        <v>684</v>
      </c>
      <c r="C27" s="53"/>
      <c r="D27" s="261" t="s">
        <v>685</v>
      </c>
      <c r="E27" s="1965"/>
      <c r="F27" s="56"/>
      <c r="G27" s="1578"/>
      <c r="H27" s="797" t="s">
        <v>1827</v>
      </c>
      <c r="I27" s="2961" t="s">
        <v>2818</v>
      </c>
      <c r="J27" s="799">
        <f ca="1">J7-J18</f>
        <v>-900</v>
      </c>
      <c r="K27" s="1962" t="s">
        <v>700</v>
      </c>
      <c r="L27" s="1964"/>
      <c r="M27" s="820"/>
    </row>
    <row r="28" spans="1:25" ht="18" customHeight="1">
      <c r="A28" s="803" t="s">
        <v>1874</v>
      </c>
      <c r="B28" s="784" t="s">
        <v>2435</v>
      </c>
      <c r="C28" s="53">
        <f ca="1">ROUND((C21+C22)*F28,0)</f>
        <v>1050</v>
      </c>
      <c r="D28" s="812" t="s">
        <v>701</v>
      </c>
      <c r="E28" s="795" t="s">
        <v>702</v>
      </c>
      <c r="F28" s="794">
        <f ca="1">INDIRECT("'数据-取费表'!q"&amp;$G$1)</f>
        <v>0.15</v>
      </c>
      <c r="G28" s="1578"/>
      <c r="H28" s="781" t="s">
        <v>1836</v>
      </c>
      <c r="I28" s="782" t="s">
        <v>703</v>
      </c>
      <c r="J28" s="783">
        <f ca="1">IF(J7&lt;&gt;0,ROUND(J27*(1-((1+M30)/(1+M28))^M29)/(M28-M30),0),0)</f>
        <v>0</v>
      </c>
      <c r="K28" s="814" t="s">
        <v>704</v>
      </c>
      <c r="L28" s="784" t="s">
        <v>705</v>
      </c>
      <c r="M28" s="794">
        <f ca="1">INDIRECT("'数据-取费表'!I"&amp;$G$1)</f>
        <v>5.5E-2</v>
      </c>
    </row>
    <row r="29" spans="1:25" ht="18" customHeight="1">
      <c r="A29" s="803" t="s">
        <v>1848</v>
      </c>
      <c r="B29" s="784" t="s">
        <v>686</v>
      </c>
      <c r="C29" s="53">
        <f ca="1">ROUND(F23*F28,4)</f>
        <v>3.0000000000000001E-3</v>
      </c>
      <c r="D29" s="812" t="s">
        <v>706</v>
      </c>
      <c r="E29" s="806"/>
      <c r="F29" s="807"/>
      <c r="G29" s="1578"/>
      <c r="H29" s="786"/>
      <c r="I29" s="787"/>
      <c r="J29" s="788"/>
      <c r="K29" s="821" t="s">
        <v>707</v>
      </c>
      <c r="L29" s="784" t="s">
        <v>708</v>
      </c>
      <c r="M29" s="822">
        <f ca="1">INDIRECT("'数据-取费表'!ag"&amp;$G$1)</f>
        <v>0</v>
      </c>
    </row>
    <row r="30" spans="1:25" s="2047" customFormat="1" ht="18" customHeight="1">
      <c r="A30" s="803" t="s">
        <v>1881</v>
      </c>
      <c r="B30" s="784" t="s">
        <v>687</v>
      </c>
      <c r="C30" s="53">
        <f>ROUND(F30/(1+'数据-取费表'!C42),4)</f>
        <v>5.2400000000000002E-2</v>
      </c>
      <c r="D30" s="812" t="s">
        <v>709</v>
      </c>
      <c r="E30" s="784" t="s">
        <v>649</v>
      </c>
      <c r="F30" s="809">
        <f>'数据-取费表'!B41</f>
        <v>5.5000000000000007E-2</v>
      </c>
      <c r="G30" s="1579"/>
      <c r="H30" s="790"/>
      <c r="I30" s="791"/>
      <c r="J30" s="792"/>
      <c r="K30" s="816"/>
      <c r="L30" s="784" t="s">
        <v>710</v>
      </c>
      <c r="M30" s="794">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1882</v>
      </c>
      <c r="B31" s="2503" t="s">
        <v>2819</v>
      </c>
      <c r="C31" s="2506">
        <f ca="1">ROUND((C21+C22+C25+C28)/(1-F23-C26-C29-C30),0)</f>
        <v>9080</v>
      </c>
      <c r="D31" s="2507"/>
      <c r="E31" s="2508"/>
      <c r="F31" s="2509"/>
      <c r="G31" s="1579"/>
      <c r="H31" s="823" t="s">
        <v>1871</v>
      </c>
      <c r="I31" s="2962" t="s">
        <v>2820</v>
      </c>
      <c r="J31" s="825">
        <f ca="1">ROUND(J28/(1+F45)^F46,0)</f>
        <v>0</v>
      </c>
      <c r="K31" s="826" t="s">
        <v>688</v>
      </c>
      <c r="L31" s="827"/>
      <c r="M31" s="828">
        <f ca="1">INDIRECT("'数据-取费表'!k"&amp;$G$1)</f>
        <v>32157.53</v>
      </c>
      <c r="N31" s="2046"/>
      <c r="O31" s="2046"/>
      <c r="P31" s="2046"/>
      <c r="Q31" s="2046"/>
      <c r="R31" s="2046"/>
      <c r="S31" s="2046"/>
      <c r="T31" s="2046"/>
      <c r="U31" s="2046"/>
      <c r="V31" s="2046"/>
      <c r="W31" s="2046"/>
      <c r="X31" s="2046"/>
      <c r="Y31" s="2046"/>
    </row>
    <row r="32" spans="1:25" ht="18" customHeight="1" thickTop="1">
      <c r="A32" s="1812" t="s">
        <v>7</v>
      </c>
      <c r="B32" s="1810" t="s">
        <v>689</v>
      </c>
      <c r="C32" s="792">
        <f ca="1">ROUND(C33+C38+C39+C40,0)</f>
        <v>440</v>
      </c>
      <c r="D32" s="1804" t="s">
        <v>652</v>
      </c>
      <c r="E32" s="2449"/>
      <c r="F32" s="2453"/>
      <c r="G32" s="2045"/>
      <c r="H32" s="2048"/>
      <c r="I32" s="2049"/>
      <c r="J32" s="2050"/>
      <c r="K32" s="2051"/>
      <c r="L32" s="2052"/>
      <c r="M32" s="2053"/>
    </row>
    <row r="33" spans="1:18" ht="18" customHeight="1">
      <c r="A33" s="803" t="s">
        <v>1875</v>
      </c>
      <c r="B33" s="784" t="s">
        <v>656</v>
      </c>
      <c r="C33" s="53">
        <f ca="1">ROUND(IF(项目基本情况!B11="自然人",C8*F33/(1+'数据-取费表'!C42),C34+C35+C36),1)</f>
        <v>274</v>
      </c>
      <c r="D33" s="1962" t="s">
        <v>657</v>
      </c>
      <c r="E33" s="1960" t="s">
        <v>690</v>
      </c>
      <c r="F33" s="810" t="str">
        <f ca="1">IF(项目基本情况!B11="企业","",IF(INDIRECT("'数据-取费表'!c"&amp;$G$1)="住宅",5%,IF(F8*F9*F10/12/(1+'数据-取费表'!C42)&gt;20000,12%,7%)))</f>
        <v/>
      </c>
      <c r="G33" s="2045"/>
      <c r="H33" s="2048"/>
      <c r="I33" s="2049"/>
      <c r="J33" s="2050"/>
      <c r="K33" s="2051"/>
      <c r="L33" s="2052"/>
      <c r="M33" s="2053"/>
    </row>
    <row r="34" spans="1:18" ht="18" customHeight="1">
      <c r="A34" s="803" t="s">
        <v>1874</v>
      </c>
      <c r="B34" s="784" t="s">
        <v>660</v>
      </c>
      <c r="C34" s="53">
        <f ca="1">ROUND(C8*F34/(1+'数据-取费表'!C42),1)</f>
        <v>85.7</v>
      </c>
      <c r="D34" s="1960" t="s">
        <v>661</v>
      </c>
      <c r="E34" s="784" t="s">
        <v>649</v>
      </c>
      <c r="F34" s="809">
        <f>'数据-取费表'!B41</f>
        <v>5.5000000000000007E-2</v>
      </c>
      <c r="G34" s="2045"/>
      <c r="H34" s="2054"/>
      <c r="I34" s="2055"/>
      <c r="J34" s="2056"/>
      <c r="K34" s="2057"/>
      <c r="L34" s="2058"/>
      <c r="M34" s="2059"/>
    </row>
    <row r="35" spans="1:18" ht="18" customHeight="1">
      <c r="A35" s="803" t="s">
        <v>1848</v>
      </c>
      <c r="B35" s="784" t="s">
        <v>664</v>
      </c>
      <c r="C35" s="53">
        <f ca="1">IF(D35="按租金收入计税",ROUND(C8*F35/(1+'数据-取费表'!C42),1),IF(D35="按房产原值计税",ROUND(C31*F35*0.7,1),INDIRECT("'数据-取费表'!Aj"&amp;$G$1)))</f>
        <v>187</v>
      </c>
      <c r="D35" s="811" t="s">
        <v>3186</v>
      </c>
      <c r="E35" s="784" t="s">
        <v>649</v>
      </c>
      <c r="F35" s="809">
        <f>IF(D35="按租金收入计税",'数据-取费表'!B51,'数据-取费表'!B50)</f>
        <v>0.12</v>
      </c>
      <c r="G35" s="2045"/>
      <c r="H35" s="2060"/>
      <c r="I35" s="2060"/>
      <c r="J35" s="2060"/>
      <c r="K35" s="2061"/>
      <c r="L35" s="2060"/>
      <c r="M35" s="2060"/>
    </row>
    <row r="36" spans="1:18" ht="18" customHeight="1">
      <c r="A36" s="813" t="s">
        <v>1879</v>
      </c>
      <c r="B36" s="341" t="s">
        <v>668</v>
      </c>
      <c r="C36" s="54">
        <f ca="1">ROUND(F36*F37/10000,1)</f>
        <v>1.3</v>
      </c>
      <c r="D36" s="814" t="s">
        <v>669</v>
      </c>
      <c r="E36" s="784" t="s">
        <v>670</v>
      </c>
      <c r="F36" s="640">
        <f>'数据-取费表'!B52</f>
        <v>3</v>
      </c>
      <c r="G36" s="2045"/>
      <c r="H36" s="2048"/>
      <c r="I36" s="3583"/>
      <c r="J36" s="2062"/>
      <c r="K36" s="2063"/>
      <c r="L36" s="2062"/>
      <c r="M36" s="2062"/>
    </row>
    <row r="37" spans="1:18" ht="18" customHeight="1">
      <c r="A37" s="815"/>
      <c r="B37" s="793"/>
      <c r="C37" s="69"/>
      <c r="D37" s="816"/>
      <c r="E37" s="784" t="s">
        <v>674</v>
      </c>
      <c r="F37" s="785">
        <f ca="1">INDIRECT("'数据-取费表'!r"&amp;$G$1)</f>
        <v>4386.9900000000007</v>
      </c>
      <c r="G37" s="2045"/>
      <c r="H37" s="2048"/>
      <c r="I37" s="3583"/>
      <c r="J37" s="2060"/>
      <c r="K37" s="2061"/>
      <c r="L37" s="2060"/>
      <c r="M37" s="2060"/>
    </row>
    <row r="38" spans="1:18" ht="18" customHeight="1">
      <c r="A38" s="803" t="s">
        <v>1876</v>
      </c>
      <c r="B38" s="784" t="s">
        <v>676</v>
      </c>
      <c r="C38" s="53">
        <f ca="1">ROUND(C31*F38,1)</f>
        <v>136.19999999999999</v>
      </c>
      <c r="D38" s="1960" t="s">
        <v>691</v>
      </c>
      <c r="E38" s="784" t="s">
        <v>649</v>
      </c>
      <c r="F38" s="817">
        <f ca="1">INDIRECT("'数据-取费表'!Ak"&amp;$G$1)</f>
        <v>1.4999999999999999E-2</v>
      </c>
      <c r="G38" s="2045"/>
      <c r="H38" s="2060"/>
      <c r="I38" s="2064"/>
      <c r="J38" s="1971"/>
      <c r="K38" s="2065"/>
      <c r="L38" s="2060"/>
      <c r="M38" s="2060"/>
    </row>
    <row r="39" spans="1:18" ht="18" customHeight="1">
      <c r="A39" s="803" t="s">
        <v>1877</v>
      </c>
      <c r="B39" s="784" t="s">
        <v>679</v>
      </c>
      <c r="C39" s="53">
        <f ca="1">ROUND(C15*F39,1)</f>
        <v>13.6</v>
      </c>
      <c r="D39" s="1960" t="s">
        <v>680</v>
      </c>
      <c r="E39" s="784" t="s">
        <v>649</v>
      </c>
      <c r="F39" s="818">
        <f ca="1">INDIRECT("'数据-取费表'!Al"&amp;$G$1)</f>
        <v>1.5E-3</v>
      </c>
      <c r="G39" s="2045"/>
      <c r="H39" s="2060"/>
      <c r="I39" s="2064"/>
      <c r="J39" s="1971"/>
      <c r="K39" s="2065"/>
      <c r="L39" s="2060"/>
      <c r="M39" s="2060"/>
    </row>
    <row r="40" spans="1:18" ht="18" customHeight="1" thickBot="1">
      <c r="A40" s="2522" t="s">
        <v>1878</v>
      </c>
      <c r="B40" s="2508" t="s">
        <v>666</v>
      </c>
      <c r="C40" s="2506">
        <f ca="1">ROUND(C7*F40,1)</f>
        <v>16.399999999999999</v>
      </c>
      <c r="D40" s="2507" t="s">
        <v>683</v>
      </c>
      <c r="E40" s="2508" t="s">
        <v>649</v>
      </c>
      <c r="F40" s="2504">
        <f ca="1">INDIRECT("'数据-取费表'!Am"&amp;$G$1)</f>
        <v>0.01</v>
      </c>
      <c r="G40" s="2045"/>
      <c r="H40" s="2060"/>
      <c r="I40" s="2064"/>
      <c r="J40" s="1971"/>
      <c r="K40" s="2066"/>
      <c r="L40" s="2060"/>
      <c r="M40" s="2060"/>
    </row>
    <row r="41" spans="1:18" ht="18" customHeight="1" thickTop="1">
      <c r="A41" s="1812">
        <v>4</v>
      </c>
      <c r="B41" s="1810" t="s">
        <v>692</v>
      </c>
      <c r="C41" s="1349"/>
      <c r="D41" s="1350"/>
      <c r="E41" s="1350"/>
      <c r="F41" s="1351"/>
      <c r="G41" s="2045"/>
      <c r="H41" s="2045"/>
      <c r="I41" s="2045"/>
      <c r="J41" s="2045"/>
      <c r="K41" s="2066"/>
      <c r="L41" s="2045"/>
      <c r="M41" s="2045"/>
    </row>
    <row r="42" spans="1:18" ht="18" customHeight="1">
      <c r="A42" s="803" t="s">
        <v>1875</v>
      </c>
      <c r="B42" s="835" t="s">
        <v>693</v>
      </c>
      <c r="C42" s="829">
        <f ca="1">C7-C32</f>
        <v>1198</v>
      </c>
      <c r="D42" s="1962" t="s">
        <v>694</v>
      </c>
      <c r="E42" s="1964"/>
      <c r="F42" s="820"/>
      <c r="G42" s="2045"/>
      <c r="H42" s="2045"/>
      <c r="I42" s="2045"/>
      <c r="J42" s="2045"/>
      <c r="K42" s="2066"/>
      <c r="L42" s="2045"/>
      <c r="M42" s="2045"/>
    </row>
    <row r="43" spans="1:18" ht="18" customHeight="1">
      <c r="A43" s="803" t="s">
        <v>1876</v>
      </c>
      <c r="B43" s="835" t="s">
        <v>711</v>
      </c>
      <c r="C43" s="836">
        <f ca="1">ROUND(C15*F43,0)</f>
        <v>726</v>
      </c>
      <c r="D43" s="1352" t="s">
        <v>712</v>
      </c>
      <c r="E43" s="3069" t="s">
        <v>2955</v>
      </c>
      <c r="F43" s="3070">
        <f ca="1">INDIRECT("'数据-取费表'!j"&amp;$G$1)</f>
        <v>0.08</v>
      </c>
      <c r="G43" s="2045"/>
      <c r="H43" s="2045"/>
      <c r="I43" s="2045"/>
      <c r="J43" s="2045"/>
      <c r="K43" s="2066"/>
      <c r="L43" s="2045"/>
      <c r="M43" s="2045"/>
    </row>
    <row r="44" spans="1:18" ht="18" customHeight="1">
      <c r="A44" s="803" t="s">
        <v>1877</v>
      </c>
      <c r="B44" s="835" t="s">
        <v>713</v>
      </c>
      <c r="C44" s="1353">
        <f ca="1">C42-C43</f>
        <v>472</v>
      </c>
      <c r="D44" s="463" t="s">
        <v>714</v>
      </c>
      <c r="E44" s="464"/>
      <c r="F44" s="465"/>
      <c r="G44" s="2045"/>
      <c r="H44" s="2045"/>
      <c r="I44" s="2045"/>
      <c r="J44" s="2045"/>
      <c r="K44" s="2066"/>
      <c r="L44" s="2045"/>
      <c r="M44" s="2045"/>
    </row>
    <row r="45" spans="1:18" ht="18" customHeight="1">
      <c r="A45" s="803" t="s">
        <v>1878</v>
      </c>
      <c r="B45" s="1352" t="s">
        <v>715</v>
      </c>
      <c r="C45" s="2987">
        <f ca="1">ROUND(-PV(F45,F46,C44,0),0)</f>
        <v>7437</v>
      </c>
      <c r="D45" s="1354" t="s">
        <v>716</v>
      </c>
      <c r="E45" s="806" t="s">
        <v>717</v>
      </c>
      <c r="F45" s="830">
        <f ca="1">INDIRECT("'数据-取费表'!h"&amp;$G$1)</f>
        <v>0.05</v>
      </c>
      <c r="G45" s="2045"/>
      <c r="H45" s="2045"/>
      <c r="I45" s="2045"/>
      <c r="J45" s="2045"/>
      <c r="K45" s="2066"/>
      <c r="L45" s="2045"/>
      <c r="M45" s="2045"/>
    </row>
    <row r="46" spans="1:18" ht="18" customHeight="1" thickBot="1">
      <c r="A46" s="831"/>
      <c r="B46" s="1355"/>
      <c r="C46" s="1356"/>
      <c r="D46" s="1357"/>
      <c r="E46" s="3071" t="s">
        <v>2958</v>
      </c>
      <c r="F46" s="828">
        <f ca="1">IF(INDIRECT("'数据-取费表'!af"&amp;$G$1)=0,INDIRECT("'数据-取费表'!ae"&amp;$G$1),INDIRECT("'数据-取费表'!af"&amp;$G$1))</f>
        <v>31.78</v>
      </c>
      <c r="G46" s="2045"/>
      <c r="H46" s="2045"/>
      <c r="I46" s="2045"/>
      <c r="J46" s="2045"/>
      <c r="K46" s="2066"/>
      <c r="L46" s="2045"/>
      <c r="M46" s="2045"/>
    </row>
    <row r="47" spans="1:18" s="2042" customFormat="1" ht="18" customHeight="1" thickBot="1">
      <c r="A47" s="2067"/>
      <c r="D47" s="2068"/>
      <c r="E47" s="2068"/>
      <c r="F47" s="2068"/>
      <c r="I47" s="2340" t="s">
        <v>2340</v>
      </c>
      <c r="J47" s="2341"/>
      <c r="K47" s="2342"/>
      <c r="L47" s="3103" t="e">
        <f ca="1">IF(M48="住宅",0,IF(L49&gt;J52,L61,J61))</f>
        <v>#DIV/0!</v>
      </c>
      <c r="O47" s="2356" t="s">
        <v>2407</v>
      </c>
      <c r="P47" s="1578"/>
      <c r="Q47" s="1589"/>
      <c r="R47" s="1578"/>
    </row>
    <row r="48" spans="1:18" s="2042" customFormat="1" ht="18" customHeight="1" thickBot="1">
      <c r="A48" s="2067"/>
      <c r="C48" s="2070"/>
      <c r="D48" s="2071"/>
      <c r="E48" s="2071"/>
      <c r="F48" s="2072"/>
      <c r="G48" s="2073"/>
      <c r="I48" s="3094" t="s">
        <v>2341</v>
      </c>
      <c r="J48" s="2343"/>
      <c r="K48" s="3100" t="s">
        <v>2346</v>
      </c>
      <c r="L48" s="3104">
        <f ca="1">INDIRECT("'数据-取费表'!d"&amp;$G$1)</f>
        <v>40</v>
      </c>
      <c r="M48" s="3068" t="str">
        <f>IF(ISNUMBER(FIND("住宅",C1)),"住宅","非住宅")</f>
        <v>非住宅</v>
      </c>
      <c r="O48" s="2357" t="s">
        <v>2372</v>
      </c>
      <c r="P48" s="2358" t="s">
        <v>2373</v>
      </c>
      <c r="Q48" s="2359" t="s">
        <v>2374</v>
      </c>
      <c r="R48" s="2358" t="s">
        <v>2375</v>
      </c>
    </row>
    <row r="49" spans="1:18" s="2042" customFormat="1" ht="18" customHeight="1" thickBot="1">
      <c r="A49" s="2067"/>
      <c r="D49" s="2074"/>
      <c r="E49" s="2075"/>
      <c r="F49" s="2072"/>
      <c r="G49" s="2073"/>
      <c r="H49" s="2076"/>
      <c r="I49" s="3073" t="s">
        <v>2342</v>
      </c>
      <c r="J49" s="2344"/>
      <c r="K49" s="3101" t="s">
        <v>2348</v>
      </c>
      <c r="L49" s="1891">
        <f ca="1">INDIRECT("'数据-取费表'!f"&amp;$G$1)</f>
        <v>33.78</v>
      </c>
      <c r="O49" s="2360" t="s">
        <v>2376</v>
      </c>
      <c r="P49" s="2361" t="s">
        <v>2402</v>
      </c>
      <c r="Q49" s="2362">
        <f ca="1">C41+J31</f>
        <v>0</v>
      </c>
      <c r="R49" s="2361" t="s">
        <v>2377</v>
      </c>
    </row>
    <row r="50" spans="1:18" s="2042" customFormat="1" ht="18" customHeight="1" thickBot="1">
      <c r="A50" s="2067"/>
      <c r="D50" s="2077"/>
      <c r="E50" s="2077"/>
      <c r="F50" s="2071"/>
      <c r="G50" s="2078"/>
      <c r="H50" s="2076"/>
      <c r="I50" s="3073" t="s">
        <v>2343</v>
      </c>
      <c r="J50" s="2345"/>
      <c r="K50" s="3102" t="s">
        <v>2349</v>
      </c>
      <c r="L50" s="2346"/>
      <c r="O50" s="2360" t="s">
        <v>2378</v>
      </c>
      <c r="P50" s="2361" t="s">
        <v>2403</v>
      </c>
      <c r="Q50" s="2362" t="str">
        <f ca="1">J61</f>
        <v>0</v>
      </c>
      <c r="R50" s="2361" t="s">
        <v>2379</v>
      </c>
    </row>
    <row r="51" spans="1:18" s="2042" customFormat="1" ht="18" customHeight="1" thickBot="1">
      <c r="A51" s="2079"/>
      <c r="D51" s="2077"/>
      <c r="E51" s="2077"/>
      <c r="F51" s="2068"/>
      <c r="H51" s="2076"/>
      <c r="I51" s="3073" t="s">
        <v>2344</v>
      </c>
      <c r="J51" s="3098">
        <f>SUMPRODUCT((I64:I66=J48)*(J63:L63=J49)*(J64:L66))</f>
        <v>0</v>
      </c>
      <c r="K51" s="3102" t="s">
        <v>2350</v>
      </c>
      <c r="L51" s="2346"/>
      <c r="O51" s="2363" t="s">
        <v>2380</v>
      </c>
      <c r="P51" s="2361" t="s">
        <v>2404</v>
      </c>
      <c r="Q51" s="2362">
        <f ca="1">C31</f>
        <v>9080</v>
      </c>
      <c r="R51" s="2361" t="s">
        <v>2377</v>
      </c>
    </row>
    <row r="52" spans="1:18" s="2042" customFormat="1" ht="18" customHeight="1" thickBot="1">
      <c r="A52" s="2079"/>
      <c r="F52" s="2068"/>
      <c r="I52" s="3095" t="s">
        <v>2345</v>
      </c>
      <c r="J52" s="3099">
        <f>IF(J50="",J51,J50+J51-YEAR('数据-取费表'!B3))</f>
        <v>0</v>
      </c>
      <c r="K52" s="3073" t="s">
        <v>2351</v>
      </c>
      <c r="L52" s="3105">
        <f ca="1">ROUND(-PV(INDIRECT("'数据-取费表'!h"&amp;$G$1),L49,(C40-C14*J36),0),0)</f>
        <v>265</v>
      </c>
      <c r="O52" s="2363" t="s">
        <v>2381</v>
      </c>
      <c r="P52" s="2361" t="s">
        <v>2382</v>
      </c>
      <c r="Q52" s="2364" t="e">
        <f ca="1">J59</f>
        <v>#VALUE!</v>
      </c>
      <c r="R52" s="2365"/>
    </row>
    <row r="53" spans="1:18" s="2042" customFormat="1" ht="18" customHeight="1" thickBot="1">
      <c r="A53" s="2079"/>
      <c r="F53" s="2068"/>
      <c r="I53" s="3096" t="s">
        <v>2418</v>
      </c>
      <c r="J53" s="2347"/>
      <c r="K53" s="3096" t="s">
        <v>2417</v>
      </c>
      <c r="L53" s="2347"/>
      <c r="O53" s="2363" t="s">
        <v>2383</v>
      </c>
      <c r="P53" s="2361" t="s">
        <v>2384</v>
      </c>
      <c r="Q53" s="2364">
        <f>J53</f>
        <v>0</v>
      </c>
      <c r="R53" s="2365"/>
    </row>
    <row r="54" spans="1:18" s="2042" customFormat="1" ht="31.8" thickBot="1">
      <c r="A54" s="2079"/>
      <c r="I54" s="3097" t="s">
        <v>2971</v>
      </c>
      <c r="J54" s="3176">
        <f ca="1">IF(M48="住宅",MAX(J52,L49-'数据-取费表'!B20),MIN(J52,L49-'数据-取费表'!B20))</f>
        <v>0</v>
      </c>
      <c r="K54" s="3588"/>
      <c r="L54" s="3589"/>
      <c r="O54" s="2363" t="s">
        <v>2385</v>
      </c>
      <c r="P54" s="2361" t="s">
        <v>2386</v>
      </c>
      <c r="Q54" s="2362">
        <f ca="1">J54</f>
        <v>0</v>
      </c>
      <c r="R54" s="2361" t="s">
        <v>2387</v>
      </c>
    </row>
    <row r="55" spans="1:18" s="2042" customFormat="1" ht="18" customHeight="1" thickBot="1">
      <c r="A55" s="2079"/>
      <c r="I55" s="310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6"/>
      <c r="K55" s="3107"/>
      <c r="O55" s="2360" t="s">
        <v>2388</v>
      </c>
      <c r="P55" s="2361" t="s">
        <v>2405</v>
      </c>
      <c r="Q55" s="2362">
        <f ca="1">Q49+Q50</f>
        <v>0</v>
      </c>
      <c r="R55" s="2365" t="s">
        <v>2389</v>
      </c>
    </row>
    <row r="56" spans="1:18" s="2042" customFormat="1" ht="16.2" thickBot="1">
      <c r="A56" s="2079"/>
      <c r="B56" s="2080"/>
      <c r="C56" s="2080"/>
      <c r="I56" s="3108" t="s">
        <v>2352</v>
      </c>
      <c r="J56" s="3048" t="e">
        <f ca="1">ROUND(IF(J48="钢混",J58/J51,1-(1-2%)*(J51-J58)/J51),3)</f>
        <v>#VALUE!</v>
      </c>
      <c r="K56" s="3109" t="s">
        <v>2353</v>
      </c>
      <c r="L56" s="2348"/>
      <c r="O56" s="2366" t="s">
        <v>2408</v>
      </c>
      <c r="P56" s="1578"/>
      <c r="Q56" s="1589"/>
      <c r="R56" s="1578"/>
    </row>
    <row r="57" spans="1:18" s="2042" customFormat="1" ht="47.4" thickBot="1">
      <c r="A57" s="2079"/>
      <c r="B57" s="2080"/>
      <c r="C57" s="2080"/>
      <c r="I57" s="3110" t="s">
        <v>2354</v>
      </c>
      <c r="J57" s="3120" t="s">
        <v>1678</v>
      </c>
      <c r="K57" s="3073" t="s">
        <v>2359</v>
      </c>
      <c r="L57" s="1891">
        <f ca="1">IF(L49&lt;J52,"——",L49-J52)</f>
        <v>33.78</v>
      </c>
      <c r="O57" s="2357" t="s">
        <v>2372</v>
      </c>
      <c r="P57" s="2358" t="s">
        <v>2373</v>
      </c>
      <c r="Q57" s="2359" t="s">
        <v>2374</v>
      </c>
      <c r="R57" s="2358" t="s">
        <v>2375</v>
      </c>
    </row>
    <row r="58" spans="1:18" s="2042" customFormat="1" ht="31.8" thickBot="1">
      <c r="A58" s="2079"/>
      <c r="B58" s="2080"/>
      <c r="C58" s="2080"/>
      <c r="I58" s="3111" t="s">
        <v>2355</v>
      </c>
      <c r="J58" s="3112" t="str">
        <f ca="1">IF(OR(M48="住宅",J52&lt;L49,J57="是"),"——",J52-L49)</f>
        <v>——</v>
      </c>
      <c r="K58" s="3073" t="s">
        <v>2360</v>
      </c>
      <c r="L58" s="1891">
        <f ca="1">IF(L49&lt;J52,"——",IF(L56="比较法",L50,IF(L56="基准地价",L51,L52)))</f>
        <v>265</v>
      </c>
      <c r="O58" s="2360" t="s">
        <v>2376</v>
      </c>
      <c r="P58" s="2361" t="s">
        <v>2402</v>
      </c>
      <c r="Q58" s="2362">
        <f ca="1">C41+J31</f>
        <v>0</v>
      </c>
      <c r="R58" s="2361" t="s">
        <v>2377</v>
      </c>
    </row>
    <row r="59" spans="1:18" s="2042" customFormat="1" ht="31.8" thickBot="1">
      <c r="A59" s="2079"/>
      <c r="B59" s="2080"/>
      <c r="C59" s="2080"/>
      <c r="I59" s="3111" t="s">
        <v>2356</v>
      </c>
      <c r="J59" s="3049" t="e">
        <f ca="1">IF(J56&lt;0.4,0.4,J56)</f>
        <v>#VALUE!</v>
      </c>
      <c r="K59" s="3073" t="s">
        <v>2361</v>
      </c>
      <c r="L59" s="1891">
        <f ca="1">IF(ISERROR(POWER(1+L53,L48-L49)*(POWER(1+L53,L49)-1)/(POWER(1+L53,L48)-1)),0,POWER(1+L53,L48-L49)*(POWER(1+L53,L49)-1)/(POWER(1+L53,L48)-1))</f>
        <v>0</v>
      </c>
      <c r="O59" s="2360" t="s">
        <v>2378</v>
      </c>
      <c r="P59" s="2361" t="s">
        <v>2409</v>
      </c>
      <c r="Q59" s="2362" t="e">
        <f ca="1">L61</f>
        <v>#DIV/0!</v>
      </c>
      <c r="R59" s="2365" t="s">
        <v>2411</v>
      </c>
    </row>
    <row r="60" spans="1:18" s="2042" customFormat="1" ht="31.8" thickBot="1">
      <c r="A60" s="2079"/>
      <c r="B60" s="2080"/>
      <c r="C60" s="2080"/>
      <c r="I60" s="3111" t="s">
        <v>2357</v>
      </c>
      <c r="J60" s="3112" t="str">
        <f ca="1">IF(OR(M48="住宅",J52&lt;L49,J57="是"),"——",ROUND(C30*J59,0))</f>
        <v>——</v>
      </c>
      <c r="K60" s="3073" t="s">
        <v>2362</v>
      </c>
      <c r="L60" s="1891">
        <f ca="1">IF(ISERROR(POWER(1+L53,L48-J52)*(POWER(1+L53,J52)-1)/(POWER(1+L53,L48)-1)),0,POWER(1+L53,L48-J52)*(POWER(1+L53,J52)-1)/(POWER(1+L53,L48)-1))</f>
        <v>0</v>
      </c>
      <c r="O60" s="2363" t="s">
        <v>2380</v>
      </c>
      <c r="P60" s="2361" t="s">
        <v>2410</v>
      </c>
      <c r="Q60" s="2362">
        <f>IF(L56="比较法",L50,IF(L56="基准地价",L51,0))</f>
        <v>0</v>
      </c>
      <c r="R60" s="2361" t="s">
        <v>2377</v>
      </c>
    </row>
    <row r="61" spans="1:18" s="2042" customFormat="1" ht="16.2" thickBot="1">
      <c r="A61" s="2079"/>
      <c r="B61" s="2080"/>
      <c r="C61" s="2080"/>
      <c r="I61" s="3113" t="s">
        <v>2358</v>
      </c>
      <c r="J61" s="3114" t="str">
        <f ca="1">IF(OR(M48="住宅",J52&lt;L49,J57="是"),"0",ROUND(J60/(1+J53)^J54,0))</f>
        <v>0</v>
      </c>
      <c r="K61" s="3115" t="s">
        <v>2363</v>
      </c>
      <c r="L61" s="3114" t="e">
        <f ca="1">IF(OR(M48="住宅",L49&lt;J52),0,ROUND(L58*(L59/L60-1),0))</f>
        <v>#DIV/0!</v>
      </c>
      <c r="O61" s="2363" t="s">
        <v>2381</v>
      </c>
      <c r="P61" s="2361" t="s">
        <v>2390</v>
      </c>
      <c r="Q61" s="2364">
        <f>L53</f>
        <v>0</v>
      </c>
      <c r="R61" s="2365"/>
    </row>
    <row r="62" spans="1:18" s="2042" customFormat="1" ht="19.2" thickBot="1">
      <c r="A62" s="2079"/>
      <c r="B62" s="2080"/>
      <c r="C62" s="2080"/>
      <c r="K62" s="2069"/>
      <c r="O62" s="2363" t="s">
        <v>2383</v>
      </c>
      <c r="P62" s="2361" t="s">
        <v>2391</v>
      </c>
      <c r="Q62" s="2362">
        <f ca="1">L59</f>
        <v>0</v>
      </c>
      <c r="R62" s="2365" t="s">
        <v>2392</v>
      </c>
    </row>
    <row r="63" spans="1:18" s="2042" customFormat="1" ht="19.2" thickBot="1">
      <c r="A63" s="2079"/>
      <c r="B63" s="2080"/>
      <c r="C63" s="2080"/>
      <c r="I63" s="3116" t="s">
        <v>2364</v>
      </c>
      <c r="J63" s="3117" t="s">
        <v>2365</v>
      </c>
      <c r="K63" s="3117" t="s">
        <v>2366</v>
      </c>
      <c r="L63" s="3117" t="s">
        <v>2347</v>
      </c>
      <c r="M63" s="3118" t="s">
        <v>2936</v>
      </c>
      <c r="O63" s="2363" t="s">
        <v>2385</v>
      </c>
      <c r="P63" s="2361" t="s">
        <v>2393</v>
      </c>
      <c r="Q63" s="2362">
        <f ca="1">L60</f>
        <v>0</v>
      </c>
      <c r="R63" s="2365" t="s">
        <v>2394</v>
      </c>
    </row>
    <row r="64" spans="1:18" s="2042" customFormat="1" ht="16.2" thickBot="1">
      <c r="A64" s="2079"/>
      <c r="B64" s="2080"/>
      <c r="C64" s="2080"/>
      <c r="I64" s="3116" t="s">
        <v>2367</v>
      </c>
      <c r="J64" s="3117">
        <v>70</v>
      </c>
      <c r="K64" s="3117">
        <v>50</v>
      </c>
      <c r="L64" s="3117">
        <v>80</v>
      </c>
      <c r="M64" s="3119">
        <v>0.02</v>
      </c>
      <c r="O64" s="2360" t="s">
        <v>2388</v>
      </c>
      <c r="P64" s="2361" t="s">
        <v>2405</v>
      </c>
      <c r="Q64" s="2362" t="e">
        <f ca="1">Q58+Q59</f>
        <v>#DIV/0!</v>
      </c>
      <c r="R64" s="2365" t="s">
        <v>2389</v>
      </c>
    </row>
    <row r="65" spans="1:18" s="2042" customFormat="1" ht="16.2" thickBot="1">
      <c r="A65" s="2079"/>
      <c r="B65" s="2080"/>
      <c r="C65" s="2080"/>
      <c r="I65" s="3116" t="s">
        <v>2368</v>
      </c>
      <c r="J65" s="3117">
        <v>50</v>
      </c>
      <c r="K65" s="3117">
        <v>35</v>
      </c>
      <c r="L65" s="3117">
        <v>60</v>
      </c>
      <c r="M65" s="846">
        <v>0</v>
      </c>
      <c r="O65" s="2366" t="s">
        <v>2412</v>
      </c>
      <c r="P65" s="1578"/>
      <c r="Q65" s="1589"/>
      <c r="R65" s="1578"/>
    </row>
    <row r="66" spans="1:18" s="2042" customFormat="1" ht="16.2" thickBot="1">
      <c r="A66" s="2079"/>
      <c r="B66" s="2080"/>
      <c r="C66" s="2080"/>
      <c r="I66" s="3116" t="s">
        <v>2369</v>
      </c>
      <c r="J66" s="3117">
        <v>40</v>
      </c>
      <c r="K66" s="3117">
        <v>30</v>
      </c>
      <c r="L66" s="3117">
        <v>50</v>
      </c>
      <c r="M66" s="3119">
        <v>0.02</v>
      </c>
      <c r="O66" s="2357" t="s">
        <v>2372</v>
      </c>
      <c r="P66" s="2358" t="s">
        <v>2373</v>
      </c>
      <c r="Q66" s="2359" t="s">
        <v>2374</v>
      </c>
      <c r="R66" s="2358" t="s">
        <v>2375</v>
      </c>
    </row>
    <row r="67" spans="1:18" s="2042" customFormat="1" ht="16.2" thickBot="1">
      <c r="A67" s="2079"/>
      <c r="B67" s="2080"/>
      <c r="C67" s="2080"/>
      <c r="K67" s="2069"/>
      <c r="O67" s="2360" t="s">
        <v>2376</v>
      </c>
      <c r="P67" s="2361" t="s">
        <v>2402</v>
      </c>
      <c r="Q67" s="2362">
        <f ca="1">C41+J31</f>
        <v>0</v>
      </c>
      <c r="R67" s="2361" t="s">
        <v>2377</v>
      </c>
    </row>
    <row r="68" spans="1:18" s="2042" customFormat="1" ht="19.2" thickBot="1">
      <c r="A68" s="2079"/>
      <c r="B68" s="2080"/>
      <c r="C68" s="2080"/>
      <c r="K68" s="2069"/>
      <c r="O68" s="2360" t="s">
        <v>2378</v>
      </c>
      <c r="P68" s="2361" t="s">
        <v>2409</v>
      </c>
      <c r="Q68" s="2362" t="e">
        <f ca="1">L61</f>
        <v>#DIV/0!</v>
      </c>
      <c r="R68" s="2365" t="s">
        <v>2411</v>
      </c>
    </row>
    <row r="69" spans="1:18" s="2042" customFormat="1" ht="20.399999999999999" thickBot="1">
      <c r="A69" s="2079"/>
      <c r="B69" s="2080"/>
      <c r="C69" s="2080"/>
      <c r="K69" s="2069"/>
      <c r="O69" s="2363" t="s">
        <v>2380</v>
      </c>
      <c r="P69" s="2361" t="s">
        <v>2410</v>
      </c>
      <c r="Q69" s="2367">
        <f ca="1">L52</f>
        <v>265</v>
      </c>
      <c r="R69" s="2368" t="s">
        <v>2413</v>
      </c>
    </row>
    <row r="70" spans="1:18" s="2042" customFormat="1" ht="19.2" thickBot="1">
      <c r="A70" s="2079"/>
      <c r="B70" s="2080"/>
      <c r="C70" s="2080"/>
      <c r="K70" s="2069"/>
      <c r="O70" s="2363" t="s">
        <v>2381</v>
      </c>
      <c r="P70" s="2369" t="s">
        <v>2395</v>
      </c>
      <c r="Q70" s="2362">
        <f ca="1">ROUND(Q71-Q72*Q73,0)</f>
        <v>472</v>
      </c>
      <c r="R70" s="2365"/>
    </row>
    <row r="71" spans="1:18" s="2042" customFormat="1" ht="16.2" thickBot="1">
      <c r="A71" s="2079"/>
      <c r="B71" s="2080"/>
      <c r="C71" s="2080"/>
      <c r="K71" s="2069"/>
      <c r="O71" s="2363" t="s">
        <v>2396</v>
      </c>
      <c r="P71" s="2369" t="s">
        <v>2397</v>
      </c>
      <c r="Q71" s="2362">
        <f ca="1">C42</f>
        <v>1198</v>
      </c>
      <c r="R71" s="2361" t="s">
        <v>2377</v>
      </c>
    </row>
    <row r="72" spans="1:18" s="2042" customFormat="1" ht="16.2" thickBot="1">
      <c r="A72" s="2079"/>
      <c r="B72" s="2080"/>
      <c r="C72" s="2080"/>
      <c r="K72" s="2069"/>
      <c r="O72" s="2363" t="s">
        <v>2398</v>
      </c>
      <c r="P72" s="2369" t="s">
        <v>2399</v>
      </c>
      <c r="Q72" s="2362">
        <f ca="1">C15</f>
        <v>9080</v>
      </c>
      <c r="R72" s="2361" t="s">
        <v>2377</v>
      </c>
    </row>
    <row r="73" spans="1:18" s="2042" customFormat="1" ht="16.2" thickBot="1">
      <c r="A73" s="2079"/>
      <c r="B73" s="2080"/>
      <c r="C73" s="2080"/>
      <c r="K73" s="2069"/>
      <c r="O73" s="2363" t="s">
        <v>2400</v>
      </c>
      <c r="P73" s="2369" t="s">
        <v>2401</v>
      </c>
      <c r="Q73" s="2364">
        <f ca="1">F43</f>
        <v>0.08</v>
      </c>
      <c r="R73" s="2365"/>
    </row>
    <row r="74" spans="1:18" s="2042" customFormat="1" ht="16.2" thickBot="1">
      <c r="A74" s="2079"/>
      <c r="B74" s="2080"/>
      <c r="C74" s="2080"/>
      <c r="K74" s="2069"/>
      <c r="O74" s="2363" t="s">
        <v>2383</v>
      </c>
      <c r="P74" s="2361" t="s">
        <v>2390</v>
      </c>
      <c r="Q74" s="2364">
        <f>L53</f>
        <v>0</v>
      </c>
      <c r="R74" s="2365"/>
    </row>
    <row r="75" spans="1:18" s="2042" customFormat="1" ht="19.2" thickBot="1">
      <c r="A75" s="2079"/>
      <c r="B75" s="2080"/>
      <c r="C75" s="2080"/>
      <c r="K75" s="2069"/>
      <c r="O75" s="2363" t="s">
        <v>2385</v>
      </c>
      <c r="P75" s="2361" t="s">
        <v>2391</v>
      </c>
      <c r="Q75" s="2362">
        <f ca="1">L59</f>
        <v>0</v>
      </c>
      <c r="R75" s="2365" t="s">
        <v>2392</v>
      </c>
    </row>
    <row r="76" spans="1:18" s="2042" customFormat="1" ht="19.2" thickBot="1">
      <c r="A76" s="2079"/>
      <c r="B76" s="2080"/>
      <c r="C76" s="2080"/>
      <c r="K76" s="2069"/>
      <c r="O76" s="2363" t="s">
        <v>2414</v>
      </c>
      <c r="P76" s="2361" t="s">
        <v>2393</v>
      </c>
      <c r="Q76" s="2362">
        <f ca="1">L60</f>
        <v>0</v>
      </c>
      <c r="R76" s="2365" t="s">
        <v>2394</v>
      </c>
    </row>
    <row r="77" spans="1:18" s="2042" customFormat="1" ht="16.2" thickBot="1">
      <c r="A77" s="2079"/>
      <c r="B77" s="2080"/>
      <c r="C77" s="2080"/>
      <c r="K77" s="2069"/>
      <c r="O77" s="2360" t="s">
        <v>2388</v>
      </c>
      <c r="P77" s="2361" t="s">
        <v>2405</v>
      </c>
      <c r="Q77" s="2362" t="e">
        <f ca="1">Q67+Q68</f>
        <v>#DIV/0!</v>
      </c>
      <c r="R77" s="2365" t="s">
        <v>2389</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8"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xr:uid="{00000000-0002-0000-1D00-000000000000}">
      <formula1>项目类型</formula1>
    </dataValidation>
    <dataValidation type="list" allowBlank="1" showInputMessage="1" showErrorMessage="1" sqref="D35" xr:uid="{00000000-0002-0000-1D00-000001000000}">
      <formula1>"按租金收入计税,按房产原值计税,按票据"</formula1>
    </dataValidation>
    <dataValidation type="list" allowBlank="1" showInputMessage="1" showErrorMessage="1" sqref="K21" xr:uid="{00000000-0002-0000-1D00-000002000000}">
      <formula1>"按租金收入计税,按房产原值计税"</formula1>
    </dataValidation>
    <dataValidation type="list" allowBlank="1" showInputMessage="1" showErrorMessage="1" sqref="F12 M12" xr:uid="{00000000-0002-0000-1D00-000003000000}">
      <formula1>"押一,押二,押三,自定义"</formula1>
    </dataValidation>
    <dataValidation type="list" allowBlank="1" showInputMessage="1" showErrorMessage="1" sqref="J57" xr:uid="{00000000-0002-0000-1D00-000004000000}">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
    <tabColor rgb="FF92D050"/>
    <pageSetUpPr fitToPage="1"/>
  </sheetPr>
  <dimension ref="A1:AE38"/>
  <sheetViews>
    <sheetView workbookViewId="0">
      <selection activeCell="L15" sqref="L15"/>
    </sheetView>
  </sheetViews>
  <sheetFormatPr defaultColWidth="6.6640625" defaultRowHeight="13.2"/>
  <cols>
    <col min="1" max="1" width="9.77734375" style="2107" customWidth="1"/>
    <col min="2" max="2" width="25.77734375" style="2097" customWidth="1"/>
    <col min="3" max="3" width="10.33203125" style="2108" customWidth="1"/>
    <col min="4" max="4" width="12" style="2097" customWidth="1"/>
    <col min="5" max="5" width="9.44140625" style="2107" customWidth="1"/>
    <col min="6" max="6" width="10.109375" style="2097" customWidth="1"/>
    <col min="7" max="7" width="11.6640625" style="2097" customWidth="1"/>
    <col min="8" max="8" width="10" style="2097" customWidth="1"/>
    <col min="9" max="11" width="9.44140625" style="2097" customWidth="1"/>
    <col min="12" max="12" width="9" style="2097" customWidth="1"/>
    <col min="13" max="13" width="10.44140625" style="2097" bestFit="1" customWidth="1"/>
    <col min="14" max="254" width="9" style="2097" customWidth="1"/>
    <col min="255" max="16384" width="6.6640625" style="2097"/>
  </cols>
  <sheetData>
    <row r="1" spans="1:31" s="2024" customFormat="1" ht="21">
      <c r="A1" s="2086" t="s">
        <v>466</v>
      </c>
      <c r="B1" s="2762"/>
      <c r="C1" s="2087"/>
      <c r="D1" s="2087"/>
      <c r="E1" s="2087"/>
      <c r="F1" s="2087"/>
      <c r="G1" s="2087"/>
      <c r="H1" s="2087"/>
      <c r="I1" s="2087"/>
      <c r="J1" s="2087"/>
      <c r="K1" s="422">
        <f>MATCH(B1,'数据-取费表'!A6:A16,0)+5</f>
        <v>9</v>
      </c>
    </row>
    <row r="2" spans="1:31" s="2024" customFormat="1" ht="18" customHeight="1">
      <c r="A2" s="2084" t="s">
        <v>467</v>
      </c>
      <c r="B2" s="2088">
        <f ca="1">C36</f>
        <v>16850</v>
      </c>
      <c r="C2" s="2087"/>
      <c r="D2" s="2087"/>
      <c r="E2" s="2087"/>
      <c r="F2" s="2087"/>
      <c r="G2" s="2087"/>
      <c r="H2" s="2087"/>
      <c r="I2" s="2087"/>
      <c r="J2" s="2087"/>
      <c r="K2" s="2087"/>
    </row>
    <row r="3" spans="1:31" s="2024" customFormat="1" ht="18" customHeight="1">
      <c r="A3" s="2089" t="s">
        <v>1683</v>
      </c>
      <c r="B3" s="2090">
        <f ca="1">ROUND(B2*10000/IF(B1="",'数据-汇总表'!E3,INDIRECT("'数据-取费表'!K"&amp;$K$1)),0)</f>
        <v>1004</v>
      </c>
      <c r="C3" s="2087"/>
      <c r="D3" s="2087"/>
      <c r="E3" s="2087"/>
      <c r="F3" s="2087"/>
      <c r="G3" s="2087"/>
      <c r="H3" s="2087"/>
      <c r="I3" s="2087"/>
      <c r="J3" s="2087"/>
      <c r="K3" s="2087"/>
    </row>
    <row r="4" spans="1:31" s="2024" customFormat="1" ht="18" customHeight="1">
      <c r="A4" s="426" t="s">
        <v>468</v>
      </c>
      <c r="B4" s="427">
        <f ca="1">ROUND(B2*10000/IF(B1="",'数据-汇总表'!D3,INDIRECT("'数据-取费表'!R"&amp;$K$1)),0)</f>
        <v>7548</v>
      </c>
      <c r="C4" s="428"/>
      <c r="D4" s="422"/>
      <c r="E4" s="422"/>
      <c r="F4" s="422"/>
      <c r="G4" s="422"/>
      <c r="H4" s="422"/>
      <c r="I4" s="422"/>
      <c r="J4" s="422"/>
      <c r="K4" s="422"/>
    </row>
    <row r="5" spans="1:31" s="2024" customFormat="1" ht="18" customHeight="1" thickBot="1">
      <c r="A5" s="429"/>
      <c r="B5" s="430">
        <f ca="1">ROUND(B2/(IF(B1="",'数据-汇总表'!D3,INDIRECT("'数据-取费表'!R"&amp;$K$1))/666.67),0)</f>
        <v>503</v>
      </c>
      <c r="C5" s="431" t="s">
        <v>469</v>
      </c>
      <c r="D5" s="422"/>
      <c r="E5" s="422"/>
      <c r="F5" s="422"/>
      <c r="G5" s="422"/>
      <c r="H5" s="422"/>
      <c r="I5" s="422"/>
      <c r="J5" s="422"/>
      <c r="K5" s="422"/>
    </row>
    <row r="6" spans="1:31" s="2094" customFormat="1" ht="16.5" customHeight="1">
      <c r="A6" s="2781" t="s">
        <v>1841</v>
      </c>
      <c r="B6" s="2782"/>
      <c r="C6" s="2783">
        <f ca="1">SUM(C10:K10)</f>
        <v>74764</v>
      </c>
      <c r="D6" s="2782"/>
      <c r="E6" s="2782"/>
      <c r="F6" s="2782"/>
      <c r="G6" s="2782"/>
      <c r="H6" s="2782"/>
      <c r="I6" s="2782"/>
      <c r="J6" s="2782"/>
      <c r="K6" s="2784"/>
      <c r="L6" s="2094">
        <f ca="1">B2/C6</f>
        <v>0.2253758493392542</v>
      </c>
      <c r="M6" s="2094">
        <f ca="1">结果表!G19/'剩余法-待开发'!C6</f>
        <v>0.22371729709485849</v>
      </c>
    </row>
    <row r="7" spans="1:31" s="2096" customFormat="1" ht="14.4">
      <c r="A7" s="2785" t="s">
        <v>470</v>
      </c>
      <c r="B7" s="2786" t="s">
        <v>471</v>
      </c>
      <c r="C7" s="436" t="s">
        <v>923</v>
      </c>
      <c r="D7" s="436" t="s">
        <v>3157</v>
      </c>
      <c r="E7" s="436" t="s">
        <v>3132</v>
      </c>
      <c r="F7" s="436" t="s">
        <v>3288</v>
      </c>
      <c r="G7" s="436"/>
      <c r="H7" s="436"/>
      <c r="I7" s="436"/>
      <c r="J7" s="436"/>
      <c r="K7" s="437"/>
      <c r="L7" s="2095"/>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3" t="s">
        <v>1844</v>
      </c>
      <c r="B8" s="261" t="s">
        <v>472</v>
      </c>
      <c r="C8" s="2787">
        <f>'不动产比较法-住宅'!B3</f>
        <v>4901</v>
      </c>
      <c r="D8" s="3274">
        <v>4500</v>
      </c>
      <c r="E8" s="3274">
        <f ca="1">不动产收益法!B3</f>
        <v>7001</v>
      </c>
      <c r="F8" s="3274">
        <f ca="1">'不动产收益法 (车库)'!B3</f>
        <v>1572</v>
      </c>
      <c r="G8" s="2787"/>
      <c r="H8" s="2787"/>
      <c r="I8" s="2787"/>
      <c r="J8" s="2787"/>
      <c r="K8" s="2788"/>
      <c r="L8" s="2097"/>
      <c r="M8" s="3288" t="s">
        <v>3403</v>
      </c>
      <c r="N8" s="3289"/>
      <c r="O8" s="3289"/>
      <c r="P8" s="3289"/>
      <c r="Q8" s="3289"/>
      <c r="R8" s="2097"/>
      <c r="S8" s="2097"/>
      <c r="T8" s="2097"/>
      <c r="U8" s="2097"/>
      <c r="V8" s="2097"/>
      <c r="W8" s="2097"/>
      <c r="X8" s="2097"/>
      <c r="Y8" s="2097"/>
      <c r="Z8" s="2097"/>
      <c r="AA8" s="2097"/>
      <c r="AB8" s="2097"/>
      <c r="AC8" s="2097"/>
      <c r="AD8" s="2097"/>
      <c r="AE8" s="2097"/>
    </row>
    <row r="9" spans="1:31" s="2098" customFormat="1" ht="13.5" customHeight="1">
      <c r="A9" s="803" t="s">
        <v>1845</v>
      </c>
      <c r="B9" s="261" t="s">
        <v>473</v>
      </c>
      <c r="C9" s="441">
        <f>SUMIF('数据-汇总表'!$C19:$C33,'剩余法-待开发'!C7,'数据-汇总表'!$E19:$E33)</f>
        <v>87034.41</v>
      </c>
      <c r="D9" s="441">
        <f>SUMIF('数据-汇总表'!$C19:$C33,'剩余法-待开发'!D7,'数据-汇总表'!$E19:$E33)</f>
        <v>9223.17</v>
      </c>
      <c r="E9" s="441">
        <f>SUMIF('数据-汇总表'!$C19:$C33,'剩余法-待开发'!E7,'数据-汇总表'!$E19:$E33)</f>
        <v>32157.53</v>
      </c>
      <c r="F9" s="441">
        <f>SUMIF('数据-汇总表'!$C19:$C33,'剩余法-待开发'!F7,'数据-汇总表'!$E19:$E33)</f>
        <v>34630.9</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3276">
        <f>面积!J26</f>
        <v>866</v>
      </c>
      <c r="M9" s="3276">
        <f>F9/L9</f>
        <v>39.989491916859123</v>
      </c>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1846</v>
      </c>
      <c r="B10" s="2775" t="s">
        <v>474</v>
      </c>
      <c r="C10" s="2978">
        <f>'不动产比较法-住宅'!B2</f>
        <v>42656</v>
      </c>
      <c r="D10" s="3290">
        <f>ROUND(D8*D9/10000,0)</f>
        <v>4150</v>
      </c>
      <c r="E10" s="2978">
        <f ca="1">不动产收益法!B2</f>
        <v>22514</v>
      </c>
      <c r="F10" s="2790">
        <f ca="1">'不动产收益法 (车库)'!B2</f>
        <v>5444</v>
      </c>
      <c r="G10" s="2790"/>
      <c r="H10" s="2790"/>
      <c r="I10" s="2790"/>
      <c r="J10" s="2790"/>
      <c r="K10" s="2791"/>
      <c r="L10" s="3276">
        <f ca="1">F10/L9</f>
        <v>6.2863741339491916</v>
      </c>
      <c r="M10" s="3276"/>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1842</v>
      </c>
      <c r="B11" s="2782"/>
      <c r="C11" s="2782"/>
      <c r="D11" s="2782"/>
      <c r="E11" s="2782"/>
      <c r="F11" s="2782"/>
      <c r="G11" s="2782"/>
      <c r="H11" s="2782"/>
      <c r="I11" s="2782"/>
      <c r="J11" s="2782"/>
      <c r="K11" s="2784"/>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1847</v>
      </c>
      <c r="B13" s="2796" t="s">
        <v>479</v>
      </c>
      <c r="C13" s="450">
        <f ca="1">IF(B1="",'数据-取费表'!P16,INDIRECT("'数据-取费表'!p"&amp;$K$1)+INDIRECT("'数据-取费表'!t"&amp;$K$1))</f>
        <v>30112</v>
      </c>
      <c r="D13" s="2797"/>
      <c r="E13" s="2798"/>
      <c r="F13" s="2799"/>
      <c r="G13" s="2765"/>
      <c r="H13" s="2766"/>
      <c r="I13" s="2766"/>
      <c r="J13" s="2766"/>
      <c r="K13" s="2767"/>
    </row>
    <row r="14" spans="1:31" s="2099" customFormat="1" ht="13.5" customHeight="1">
      <c r="A14" s="2795" t="s">
        <v>1848</v>
      </c>
      <c r="B14" s="2796" t="s">
        <v>480</v>
      </c>
      <c r="C14" s="53">
        <f ca="1">ROUND(C13*F14,0)</f>
        <v>903</v>
      </c>
      <c r="D14" s="2797"/>
      <c r="E14" s="2798"/>
      <c r="F14" s="2800">
        <f>'数据-取费表'!B33</f>
        <v>0.03</v>
      </c>
      <c r="G14" s="2765" t="s">
        <v>481</v>
      </c>
      <c r="H14" s="2766"/>
      <c r="I14" s="2766"/>
      <c r="J14" s="2766"/>
      <c r="K14" s="2767"/>
    </row>
    <row r="15" spans="1:31" s="2099" customFormat="1" ht="13.5" customHeight="1">
      <c r="A15" s="2795" t="s">
        <v>1849</v>
      </c>
      <c r="B15" s="2796" t="s">
        <v>482</v>
      </c>
      <c r="C15" s="53">
        <f ca="1">ROUND(IF(B1="",SUMIF('数据-取费表'!C:C,"住宅",'数据-取费表'!P:P)*F15,IF(INDIRECT("'数据-取费表'!c"&amp;$K$1)="住宅",INDIRECT("'数据-取费表'!P"&amp;$K$1)*F15,0)),0)</f>
        <v>783</v>
      </c>
      <c r="D15" s="2797"/>
      <c r="E15" s="2798"/>
      <c r="F15" s="2800">
        <f>'数据-取费表'!B34</f>
        <v>0.05</v>
      </c>
      <c r="G15" s="2765" t="s">
        <v>483</v>
      </c>
      <c r="H15" s="2766"/>
      <c r="I15" s="2766"/>
      <c r="J15" s="2766"/>
      <c r="K15" s="2767"/>
      <c r="L15" s="2099">
        <f ca="1">C15*10000/'数据-汇总表'!E29</f>
        <v>13112.942122186496</v>
      </c>
    </row>
    <row r="16" spans="1:31" s="2100" customFormat="1" ht="13.5" customHeight="1">
      <c r="A16" s="2795" t="s">
        <v>1850</v>
      </c>
      <c r="B16" s="2796" t="s">
        <v>484</v>
      </c>
      <c r="C16" s="53">
        <f ca="1">ROUND(D16*E16/10000,0)</f>
        <v>3358</v>
      </c>
      <c r="D16" s="2797">
        <f ca="1">IF(B1="",'数据-汇总表'!E3,INDIRECT("'数据-取费表'!K"&amp;$K$1)+INDIRECT("'数据-取费表'!S"&amp;$K$1))</f>
        <v>167887.58000000002</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1851</v>
      </c>
      <c r="B17" s="2796" t="s">
        <v>485</v>
      </c>
      <c r="C17" s="2801">
        <f ca="1">ROUND(C13*F17,0)</f>
        <v>452</v>
      </c>
      <c r="D17" s="475"/>
      <c r="E17" s="2801"/>
      <c r="F17" s="2802">
        <f>'数据-取费表'!B36</f>
        <v>1.4999999999999999E-2</v>
      </c>
      <c r="G17" s="261" t="s">
        <v>486</v>
      </c>
      <c r="H17" s="2768"/>
      <c r="I17" s="2768"/>
      <c r="J17" s="2768"/>
      <c r="K17" s="279"/>
    </row>
    <row r="18" spans="1:14" s="2099" customFormat="1" ht="13.5" customHeight="1">
      <c r="A18" s="2803" t="s">
        <v>1852</v>
      </c>
      <c r="B18" s="2804" t="s">
        <v>487</v>
      </c>
      <c r="C18" s="2805">
        <f ca="1">SUM(C13:C17)</f>
        <v>35608</v>
      </c>
      <c r="D18" s="2806"/>
      <c r="E18" s="468"/>
      <c r="F18" s="468"/>
      <c r="G18" s="2769" t="s">
        <v>2427</v>
      </c>
      <c r="H18" s="2770"/>
      <c r="I18" s="2770"/>
      <c r="J18" s="2770"/>
      <c r="K18" s="2771"/>
    </row>
    <row r="19" spans="1:14" s="2099" customFormat="1" ht="13.5" customHeight="1">
      <c r="A19" s="2803" t="s">
        <v>1853</v>
      </c>
      <c r="B19" s="2804" t="s">
        <v>488</v>
      </c>
      <c r="C19" s="2761">
        <f ca="1">ROUND(D19*E19/10000,0)</f>
        <v>1175</v>
      </c>
      <c r="D19" s="2807">
        <f ca="1">D16</f>
        <v>167887.58000000002</v>
      </c>
      <c r="E19" s="2761">
        <f>'数据-取费表'!B32</f>
        <v>70</v>
      </c>
      <c r="F19" s="468"/>
      <c r="G19" s="2765" t="s">
        <v>489</v>
      </c>
      <c r="H19" s="2766"/>
      <c r="I19" s="2770"/>
      <c r="J19" s="2770"/>
      <c r="K19" s="2771"/>
    </row>
    <row r="20" spans="1:14" s="2099" customFormat="1" ht="13.5" customHeight="1">
      <c r="A20" s="2803" t="s">
        <v>1854</v>
      </c>
      <c r="B20" s="2804" t="s">
        <v>490</v>
      </c>
      <c r="C20" s="2761">
        <f ca="1">C21+C22-IF(B1="",'数据-取费表'!B29,IF(G20="已全部缴纳",C21+C22,H20))</f>
        <v>3022</v>
      </c>
      <c r="D20" s="2807"/>
      <c r="E20" s="2761"/>
      <c r="F20" s="2808"/>
      <c r="G20" s="3035"/>
      <c r="H20" s="2763"/>
      <c r="I20" s="2764" t="s">
        <v>2647</v>
      </c>
      <c r="J20" s="2770"/>
      <c r="K20" s="2771"/>
    </row>
    <row r="21" spans="1:14" s="2099" customFormat="1" ht="13.5" customHeight="1">
      <c r="A21" s="2795" t="s">
        <v>1855</v>
      </c>
      <c r="B21" s="2796" t="s">
        <v>491</v>
      </c>
      <c r="C21" s="53">
        <f ca="1">ROUND(D21*E21/10000,0)</f>
        <v>1567</v>
      </c>
      <c r="D21" s="2797">
        <f ca="1">IF(B1="",'数据-汇总表'!E5,IF(INDIRECT("'数据-取费表'!c"&amp;$K$1)="住宅",INDIRECT("'数据-取费表'!k"&amp;$K$1),0))</f>
        <v>87034.41</v>
      </c>
      <c r="E21" s="53">
        <f>'数据-取费表'!B27</f>
        <v>180</v>
      </c>
      <c r="F21" s="2800"/>
      <c r="G21" s="26"/>
      <c r="H21" s="51"/>
      <c r="I21" s="51"/>
      <c r="J21" s="51"/>
      <c r="K21" s="2772"/>
    </row>
    <row r="22" spans="1:14" s="2099" customFormat="1" ht="13.5" customHeight="1">
      <c r="A22" s="2795" t="s">
        <v>1856</v>
      </c>
      <c r="B22" s="2796" t="s">
        <v>492</v>
      </c>
      <c r="C22" s="53">
        <f ca="1">ROUND(D22*E22/10000,0)</f>
        <v>1455</v>
      </c>
      <c r="D22" s="2797">
        <f ca="1">IF(B1="",'数据-汇总表'!E6,IF(INDIRECT("'数据-取费表'!c"&amp;$K$1)="住宅",INDIRECT("'数据-取费表'!s"&amp;$K$1),INDIRECT("'数据-取费表'!k"&amp;$K$1)+INDIRECT("'数据-取费表'!s"&amp;$K$1)))</f>
        <v>80853.170000000013</v>
      </c>
      <c r="E22" s="53">
        <f>'数据-取费表'!B28</f>
        <v>180</v>
      </c>
      <c r="F22" s="2800"/>
      <c r="G22" s="26"/>
      <c r="H22" s="51"/>
      <c r="I22" s="51"/>
      <c r="J22" s="51"/>
      <c r="K22" s="2772"/>
    </row>
    <row r="23" spans="1:14" s="2099" customFormat="1" ht="13.5" customHeight="1">
      <c r="A23" s="2803" t="s">
        <v>1857</v>
      </c>
      <c r="B23" s="2984" t="s">
        <v>2830</v>
      </c>
      <c r="C23" s="2805">
        <f ca="1">ROUND((C18+C19+C20)*F23,0)</f>
        <v>796</v>
      </c>
      <c r="D23" s="468"/>
      <c r="E23" s="468"/>
      <c r="F23" s="2809">
        <f>'数据-取费表'!B37</f>
        <v>0.02</v>
      </c>
      <c r="G23" s="2765" t="s">
        <v>2428</v>
      </c>
      <c r="H23" s="2766"/>
      <c r="I23" s="2766"/>
      <c r="J23" s="2766"/>
      <c r="K23" s="2767"/>
      <c r="L23" s="2101"/>
      <c r="M23" s="2101"/>
      <c r="N23" s="2101"/>
    </row>
    <row r="24" spans="1:14" s="2099" customFormat="1" ht="13.5" customHeight="1">
      <c r="A24" s="2803" t="s">
        <v>1858</v>
      </c>
      <c r="B24" s="2984" t="s">
        <v>2833</v>
      </c>
      <c r="C24" s="2805">
        <f ca="1">ROUND(C6*F24,0)</f>
        <v>1495</v>
      </c>
      <c r="D24" s="475"/>
      <c r="E24" s="473"/>
      <c r="F24" s="2809">
        <f>'数据-取费表'!B38</f>
        <v>0.02</v>
      </c>
      <c r="G24" s="2774" t="s">
        <v>499</v>
      </c>
      <c r="H24" s="2768"/>
      <c r="I24" s="2768"/>
      <c r="J24" s="2768"/>
      <c r="K24" s="279"/>
      <c r="L24" s="2101"/>
      <c r="M24" s="2101"/>
      <c r="N24" s="2101"/>
    </row>
    <row r="25" spans="1:14" s="2102" customFormat="1" ht="13.5" customHeight="1">
      <c r="A25" s="2803" t="s">
        <v>1859</v>
      </c>
      <c r="B25" s="2984" t="s">
        <v>2831</v>
      </c>
      <c r="C25" s="467">
        <f>ROUND(F25/(1+'数据-取费表'!C42),4)</f>
        <v>2.9000000000000001E-2</v>
      </c>
      <c r="D25" s="462" t="s">
        <v>2825</v>
      </c>
      <c r="E25" s="469"/>
      <c r="F25" s="2809">
        <f>IF(项目基本情况!B8="出让",0,'数据-取费表'!B48+'数据-取费表'!B49)</f>
        <v>3.0499999999999999E-2</v>
      </c>
      <c r="G25" s="2773" t="s">
        <v>2286</v>
      </c>
      <c r="H25" s="2766"/>
      <c r="I25" s="2766"/>
      <c r="J25" s="2766"/>
      <c r="K25" s="2767"/>
    </row>
    <row r="26" spans="1:14" s="2101" customFormat="1" ht="13.5" customHeight="1">
      <c r="A26" s="2803" t="s">
        <v>1860</v>
      </c>
      <c r="B26" s="2985" t="s">
        <v>2832</v>
      </c>
      <c r="C26" s="2810">
        <f ca="1">C28</f>
        <v>2000</v>
      </c>
      <c r="D26" s="467">
        <f ca="1">C27</f>
        <v>0.10009999999999999</v>
      </c>
      <c r="E26" s="469" t="s">
        <v>495</v>
      </c>
      <c r="F26" s="471">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3" t="s">
        <v>1855</v>
      </c>
      <c r="B27" s="2811" t="s">
        <v>496</v>
      </c>
      <c r="C27" s="2812">
        <f ca="1">ROUND(IF('数据-取费表'!B22&lt;=1,(1+C25)*F26*'数据-取费表'!B24,(1+C25)*(POWER((1+F26),'数据-取费表'!B24)-1)),4)</f>
        <v>0.10009999999999999</v>
      </c>
      <c r="D27" s="472"/>
      <c r="E27" s="473"/>
      <c r="F27" s="474"/>
      <c r="G27" s="2534" t="str">
        <f>IF('数据-取费表'!B22&lt;=1,"（1+取得税费率/(1+5%)）×年利率×建设期","（1+取得税费率）/(1+5%)×((1+年利率)^建设期-1)")</f>
        <v>（1+取得税费率）/(1+5%)×((1+年利率)^建设期-1)</v>
      </c>
      <c r="H27" s="2768"/>
      <c r="I27" s="2768"/>
      <c r="J27" s="2768"/>
      <c r="K27" s="279"/>
    </row>
    <row r="28" spans="1:14" s="2103" customFormat="1" ht="13.5" customHeight="1">
      <c r="A28" s="803" t="s">
        <v>1856</v>
      </c>
      <c r="B28" s="2811" t="s">
        <v>2834</v>
      </c>
      <c r="C28" s="2813">
        <f ca="1">ROUND(IF('数据-取费表'!B22&lt;=1,(C18+C19+C20+C23+C24)*F26*'数据-取费表'!B24/2,(C18+C19+C20+C23+C24)*(POWER((1+F26),'数据-取费表'!B24/2)-1)),0)</f>
        <v>2000</v>
      </c>
      <c r="D28" s="472"/>
      <c r="E28" s="473"/>
      <c r="F28" s="474"/>
      <c r="G28" s="2534" t="str">
        <f>IF('数据-取费表'!B22&lt;=1,"（1）-（4）项×年利率×建设期÷2","（1）-（4）项×((1+年利率)^(建设期÷2)-1)")</f>
        <v>（1）-（4）项×((1+年利率)^(建设期÷2)-1)</v>
      </c>
      <c r="H28" s="2768"/>
      <c r="I28" s="2768"/>
      <c r="J28" s="2768"/>
      <c r="K28" s="279"/>
    </row>
    <row r="29" spans="1:14" s="2103" customFormat="1" ht="13.5" customHeight="1">
      <c r="A29" s="2814" t="s">
        <v>1861</v>
      </c>
      <c r="B29" s="2804" t="s">
        <v>497</v>
      </c>
      <c r="C29" s="2805">
        <f ca="1">ROUND(C6*F29/(1+'数据-取费表'!C42),0)</f>
        <v>3916</v>
      </c>
      <c r="D29" s="468"/>
      <c r="E29" s="468"/>
      <c r="F29" s="2986">
        <f>'数据-取费表'!B41</f>
        <v>5.5000000000000007E-2</v>
      </c>
      <c r="G29" s="2774" t="s">
        <v>498</v>
      </c>
      <c r="H29" s="2766"/>
      <c r="I29" s="2766"/>
      <c r="J29" s="2766"/>
      <c r="K29" s="2767"/>
    </row>
    <row r="30" spans="1:14" s="2104" customFormat="1" ht="13.5" customHeight="1">
      <c r="A30" s="1620" t="s">
        <v>1862</v>
      </c>
      <c r="B30" s="2815" t="s">
        <v>500</v>
      </c>
      <c r="C30" s="2810">
        <f ca="1">C31</f>
        <v>48012</v>
      </c>
      <c r="D30" s="477">
        <f ca="1">C32</f>
        <v>0.12909999999999999</v>
      </c>
      <c r="E30" s="469" t="s">
        <v>495</v>
      </c>
      <c r="F30" s="471"/>
      <c r="G30" s="2773" t="s">
        <v>2965</v>
      </c>
      <c r="H30" s="2766"/>
      <c r="I30" s="2766"/>
      <c r="J30" s="2766"/>
      <c r="K30" s="2767"/>
    </row>
    <row r="31" spans="1:14" s="2103" customFormat="1" ht="13.5" customHeight="1">
      <c r="A31" s="803" t="s">
        <v>1855</v>
      </c>
      <c r="B31" s="2811"/>
      <c r="C31" s="450">
        <f ca="1">C18+C19+C20+C23+C24+C26+C29</f>
        <v>48012</v>
      </c>
      <c r="D31" s="472"/>
      <c r="E31" s="473"/>
      <c r="F31" s="474"/>
      <c r="G31" s="261"/>
      <c r="H31" s="2768"/>
      <c r="I31" s="2768"/>
      <c r="J31" s="2768"/>
      <c r="K31" s="279"/>
    </row>
    <row r="32" spans="1:14" s="2103" customFormat="1" ht="13.5" customHeight="1">
      <c r="A32" s="803" t="s">
        <v>1856</v>
      </c>
      <c r="B32" s="2811"/>
      <c r="C32" s="53">
        <f ca="1">ROUND(C25+D26,4)</f>
        <v>0.12909999999999999</v>
      </c>
      <c r="D32" s="472"/>
      <c r="E32" s="473"/>
      <c r="F32" s="474"/>
      <c r="G32" s="261"/>
      <c r="H32" s="2768"/>
      <c r="I32" s="2768"/>
      <c r="J32" s="2768"/>
      <c r="K32" s="279"/>
    </row>
    <row r="33" spans="1:11" s="2105" customFormat="1" ht="13.5" customHeight="1">
      <c r="A33" s="2983" t="s">
        <v>2829</v>
      </c>
      <c r="B33" s="2981" t="s">
        <v>2827</v>
      </c>
      <c r="C33" s="478">
        <f ca="1">C35</f>
        <v>5472</v>
      </c>
      <c r="D33" s="467">
        <f ca="1">C34</f>
        <v>0.1338</v>
      </c>
      <c r="E33" s="469" t="s">
        <v>495</v>
      </c>
      <c r="F33" s="479">
        <f ca="1">IF(B1="",'数据-取费表'!Q16,INDIRECT("'数据-取费表'!q"&amp;$K$1))</f>
        <v>0.13</v>
      </c>
      <c r="G33" s="2769"/>
      <c r="H33" s="2770"/>
      <c r="I33" s="2770"/>
      <c r="J33" s="2770"/>
      <c r="K33" s="2771"/>
    </row>
    <row r="34" spans="1:11" s="2106" customFormat="1" ht="13.5" customHeight="1">
      <c r="A34" s="375" t="s">
        <v>1855</v>
      </c>
      <c r="B34" s="2816" t="s">
        <v>501</v>
      </c>
      <c r="C34" s="472">
        <f ca="1">ROUND((1+C25)*F33,4)</f>
        <v>0.1338</v>
      </c>
      <c r="D34" s="472"/>
      <c r="E34" s="473"/>
      <c r="F34" s="480"/>
      <c r="G34" s="261" t="s">
        <v>2287</v>
      </c>
      <c r="H34" s="2768"/>
      <c r="I34" s="2768"/>
      <c r="J34" s="2768"/>
      <c r="K34" s="279"/>
    </row>
    <row r="35" spans="1:11" s="2106" customFormat="1" ht="13.5" customHeight="1" thickBot="1">
      <c r="A35" s="1621" t="s">
        <v>1856</v>
      </c>
      <c r="B35" s="2982" t="s">
        <v>2835</v>
      </c>
      <c r="C35" s="1613">
        <f ca="1">ROUND((C18+C19+C20+C23+C24)*F33,0)</f>
        <v>5472</v>
      </c>
      <c r="D35" s="1614"/>
      <c r="E35" s="2817"/>
      <c r="F35" s="1615"/>
      <c r="G35" s="2775"/>
      <c r="H35" s="2776"/>
      <c r="I35" s="2776"/>
      <c r="J35" s="2776"/>
      <c r="K35" s="2777"/>
    </row>
    <row r="36" spans="1:11" s="2068" customFormat="1" ht="13.5" customHeight="1" thickBot="1">
      <c r="A36" s="284" t="s">
        <v>1843</v>
      </c>
      <c r="B36" s="2779"/>
      <c r="C36" s="2818">
        <f ca="1">ROUND((C6-C30-C33)/(1+D30+D33),0)</f>
        <v>16850</v>
      </c>
      <c r="D36" s="2779"/>
      <c r="E36" s="2779"/>
      <c r="F36" s="2779"/>
      <c r="G36" s="2778" t="s">
        <v>2836</v>
      </c>
      <c r="H36" s="2779"/>
      <c r="I36" s="2779"/>
      <c r="J36" s="2779"/>
      <c r="K36" s="2780"/>
    </row>
    <row r="38" spans="1:11" ht="12.75" customHeight="1"/>
  </sheetData>
  <sheetProtection password="C66D" sheet="1" objects="1" scenarios="1" formatCells="0" formatColumns="0" formatRows="0"/>
  <phoneticPr fontId="20" type="noConversion"/>
  <dataValidations count="2">
    <dataValidation type="list" allowBlank="1" showInputMessage="1" showErrorMessage="1" sqref="C7:K7 B1" xr:uid="{00000000-0002-0000-1E00-000000000000}">
      <formula1>项目类型</formula1>
    </dataValidation>
    <dataValidation type="list" allowBlank="1" showInputMessage="1" showErrorMessage="1" sqref="G20" xr:uid="{00000000-0002-0000-1E00-000001000000}">
      <formula1>"已全部缴纳,已部分缴纳"</formula1>
    </dataValidation>
  </dataValidations>
  <pageMargins left="0.7" right="0.7" top="0.75" bottom="0.75" header="0.3" footer="0.3"/>
  <pageSetup paperSize="9" scale="58" fitToHeight="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rgb="FF92D050"/>
    <pageSetUpPr fitToPage="1"/>
  </sheetPr>
  <dimension ref="A1:AC268"/>
  <sheetViews>
    <sheetView topLeftCell="A22" zoomScale="80" zoomScaleNormal="80" workbookViewId="0">
      <selection activeCell="N45" sqref="N45"/>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5.88671875" style="1333" customWidth="1"/>
    <col min="6" max="6" width="12.21875" style="1333" customWidth="1"/>
    <col min="7" max="7" width="15.441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85" t="s">
        <v>719</v>
      </c>
      <c r="C1" s="2586" t="s">
        <v>720</v>
      </c>
      <c r="D1" s="2587" t="s">
        <v>923</v>
      </c>
      <c r="E1" s="2588"/>
      <c r="F1" s="2760" t="s">
        <v>3303</v>
      </c>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423" t="s">
        <v>467</v>
      </c>
      <c r="B2" s="2584">
        <f>ROUND(B3*D3/10000,0)</f>
        <v>42656</v>
      </c>
      <c r="C2" s="2110"/>
      <c r="D2" s="2110"/>
      <c r="E2" s="2110"/>
      <c r="F2" s="2184"/>
      <c r="G2" s="2110"/>
      <c r="H2" s="2110"/>
      <c r="I2" s="2110"/>
      <c r="J2" s="2110"/>
      <c r="K2" s="2185"/>
      <c r="L2" s="2186"/>
      <c r="M2" s="2187"/>
      <c r="N2" s="2187"/>
      <c r="O2" s="2187"/>
      <c r="P2" s="1587"/>
      <c r="Q2" s="1587"/>
      <c r="R2" s="1587"/>
      <c r="S2" s="1587"/>
      <c r="T2" s="1587"/>
      <c r="U2" s="1587"/>
      <c r="V2" s="1587"/>
      <c r="W2" s="1587"/>
      <c r="X2" s="1587"/>
      <c r="Y2" s="1587"/>
      <c r="Z2" s="1587"/>
      <c r="AA2" s="1587"/>
      <c r="AB2" s="1587"/>
      <c r="AC2" s="1588"/>
    </row>
    <row r="3" spans="1:29" s="1358" customFormat="1" ht="28.5" customHeight="1" thickBot="1">
      <c r="A3" s="509" t="s">
        <v>519</v>
      </c>
      <c r="B3" s="851">
        <f>C49</f>
        <v>4901</v>
      </c>
      <c r="C3" s="852" t="s">
        <v>722</v>
      </c>
      <c r="D3" s="851">
        <f>SUMIF('数据-汇总表'!$C19:$C33,D1,'数据-汇总表'!$E19:$E33)</f>
        <v>87034.41</v>
      </c>
      <c r="E3" s="2110"/>
      <c r="F3" s="2184"/>
      <c r="G3" s="2110"/>
      <c r="H3" s="2110"/>
      <c r="I3" s="2110"/>
      <c r="J3" s="2110"/>
      <c r="K3" s="2185"/>
      <c r="L3" s="2186"/>
      <c r="M3" s="2187"/>
      <c r="N3" s="2187"/>
      <c r="O3" s="2187"/>
      <c r="P3" s="1587"/>
      <c r="Q3" s="1587"/>
      <c r="R3" s="1587"/>
      <c r="S3" s="1587"/>
      <c r="T3" s="1587"/>
      <c r="U3" s="1587"/>
      <c r="V3" s="1587"/>
      <c r="W3" s="1587"/>
      <c r="X3" s="1587"/>
      <c r="Y3" s="1587"/>
      <c r="Z3" s="1587"/>
      <c r="AA3" s="1587"/>
      <c r="AB3" s="1587"/>
      <c r="AC3" s="1589"/>
    </row>
    <row r="4" spans="1:29" ht="14.4">
      <c r="A4" s="512" t="s">
        <v>521</v>
      </c>
      <c r="B4" s="513"/>
      <c r="C4" s="3516" t="s">
        <v>522</v>
      </c>
      <c r="D4" s="3517"/>
      <c r="E4" s="3540" t="s">
        <v>523</v>
      </c>
      <c r="F4" s="3541"/>
      <c r="G4" s="3516" t="s">
        <v>524</v>
      </c>
      <c r="H4" s="3517"/>
      <c r="I4" s="3516" t="s">
        <v>525</v>
      </c>
      <c r="J4" s="3517"/>
      <c r="K4" s="853" t="s">
        <v>526</v>
      </c>
      <c r="L4" s="2116"/>
      <c r="M4" s="2117"/>
      <c r="N4" s="2117"/>
      <c r="O4" s="2117"/>
      <c r="P4" s="3518" t="s">
        <v>527</v>
      </c>
      <c r="Q4" s="3519"/>
      <c r="R4" s="3504" t="s">
        <v>523</v>
      </c>
      <c r="S4" s="3505"/>
      <c r="T4" s="3504" t="s">
        <v>524</v>
      </c>
      <c r="U4" s="3505"/>
      <c r="V4" s="3524" t="s">
        <v>525</v>
      </c>
      <c r="W4" s="3524"/>
      <c r="X4" s="1553"/>
      <c r="Y4" s="3504" t="s">
        <v>527</v>
      </c>
      <c r="Z4" s="3505"/>
      <c r="AA4" s="3499" t="s">
        <v>523</v>
      </c>
      <c r="AB4" s="3499" t="s">
        <v>524</v>
      </c>
      <c r="AC4" s="3499" t="s">
        <v>525</v>
      </c>
    </row>
    <row r="5" spans="1:29">
      <c r="A5" s="515"/>
      <c r="B5" s="516"/>
      <c r="C5" s="3591" t="s">
        <v>3304</v>
      </c>
      <c r="D5" s="3528"/>
      <c r="E5" s="3590" t="s">
        <v>3308</v>
      </c>
      <c r="F5" s="3543"/>
      <c r="G5" s="3591" t="s">
        <v>3340</v>
      </c>
      <c r="H5" s="3528"/>
      <c r="I5" s="3591" t="s">
        <v>3328</v>
      </c>
      <c r="J5" s="3528"/>
      <c r="K5" s="854"/>
      <c r="L5" s="2116"/>
      <c r="M5" s="2117"/>
      <c r="N5" s="2117"/>
      <c r="O5" s="2117"/>
      <c r="P5" s="3520"/>
      <c r="Q5" s="3521"/>
      <c r="R5" s="3506"/>
      <c r="S5" s="3507"/>
      <c r="T5" s="3506"/>
      <c r="U5" s="3507"/>
      <c r="V5" s="3524"/>
      <c r="W5" s="3524"/>
      <c r="X5" s="1553"/>
      <c r="Y5" s="3506"/>
      <c r="Z5" s="3507"/>
      <c r="AA5" s="3500"/>
      <c r="AB5" s="3500"/>
      <c r="AC5" s="3500"/>
    </row>
    <row r="6" spans="1:29" ht="15" thickBot="1">
      <c r="A6" s="517"/>
      <c r="B6" s="518"/>
      <c r="C6" s="3525" t="s">
        <v>2927</v>
      </c>
      <c r="D6" s="3526"/>
      <c r="E6" s="3544" t="s">
        <v>2927</v>
      </c>
      <c r="F6" s="3545"/>
      <c r="G6" s="3525" t="s">
        <v>2927</v>
      </c>
      <c r="H6" s="3526"/>
      <c r="I6" s="3525" t="s">
        <v>2927</v>
      </c>
      <c r="J6" s="3526"/>
      <c r="K6" s="854" t="s">
        <v>528</v>
      </c>
      <c r="L6" s="2116"/>
      <c r="M6" s="2117"/>
      <c r="N6" s="2117"/>
      <c r="O6" s="2117"/>
      <c r="P6" s="3522"/>
      <c r="Q6" s="3523"/>
      <c r="R6" s="3506"/>
      <c r="S6" s="3507"/>
      <c r="T6" s="3508"/>
      <c r="U6" s="3509"/>
      <c r="V6" s="3524"/>
      <c r="W6" s="3524"/>
      <c r="X6" s="1553"/>
      <c r="Y6" s="3508"/>
      <c r="Z6" s="3509"/>
      <c r="AA6" s="3501"/>
      <c r="AB6" s="3501"/>
      <c r="AC6" s="3501"/>
    </row>
    <row r="7" spans="1:29" s="1216" customFormat="1" ht="15" thickBot="1">
      <c r="A7" s="2865"/>
      <c r="B7" s="2872" t="s">
        <v>529</v>
      </c>
      <c r="C7" s="519">
        <f>'数据-取费表'!B2</f>
        <v>43889</v>
      </c>
      <c r="D7" s="520">
        <v>100</v>
      </c>
      <c r="E7" s="521">
        <f>C7</f>
        <v>43889</v>
      </c>
      <c r="F7" s="522">
        <f>SUMIF(58:58,YEAR(E7)&amp;"-"&amp;MONTH(E7),59:59)</f>
        <v>100</v>
      </c>
      <c r="G7" s="523">
        <f>C7</f>
        <v>43889</v>
      </c>
      <c r="H7" s="520">
        <f>SUMIF(58:58,YEAR(G7)&amp;"-"&amp;MONTH(G7),59:59)</f>
        <v>100</v>
      </c>
      <c r="I7" s="523">
        <f>C7</f>
        <v>43889</v>
      </c>
      <c r="J7" s="520">
        <f>SUMIF(58:58,YEAR(I7)&amp;"-"&amp;MONTH(I7),59:59)</f>
        <v>100</v>
      </c>
      <c r="K7" s="855"/>
      <c r="L7" s="2118"/>
      <c r="M7" s="2119"/>
      <c r="N7" s="2119"/>
      <c r="O7" s="2119"/>
      <c r="P7" s="3502" t="s">
        <v>530</v>
      </c>
      <c r="Q7" s="3511"/>
      <c r="R7" s="1554" t="s">
        <v>13</v>
      </c>
      <c r="S7" s="1555">
        <f t="shared" ref="S7:S15" si="0">F7</f>
        <v>100</v>
      </c>
      <c r="T7" s="1554" t="s">
        <v>13</v>
      </c>
      <c r="U7" s="1555">
        <f t="shared" ref="U7:U15" si="1">H7</f>
        <v>100</v>
      </c>
      <c r="V7" s="1554" t="s">
        <v>13</v>
      </c>
      <c r="W7" s="1555">
        <f t="shared" ref="W7:W15" si="2">J7</f>
        <v>100</v>
      </c>
      <c r="X7" s="1556"/>
      <c r="Y7" s="3502" t="s">
        <v>530</v>
      </c>
      <c r="Z7" s="3503"/>
      <c r="AA7" s="1557">
        <f>D7/F7</f>
        <v>1</v>
      </c>
      <c r="AB7" s="1557">
        <f>D7/H7</f>
        <v>1</v>
      </c>
      <c r="AC7" s="1557">
        <f>D7/J7</f>
        <v>1</v>
      </c>
    </row>
    <row r="8" spans="1:29" s="1216" customFormat="1" ht="15" thickBot="1">
      <c r="A8" s="2866"/>
      <c r="B8" s="2873" t="s">
        <v>531</v>
      </c>
      <c r="C8" s="525" t="s">
        <v>576</v>
      </c>
      <c r="D8" s="520">
        <v>100</v>
      </c>
      <c r="E8" s="856" t="s">
        <v>3141</v>
      </c>
      <c r="F8" s="522">
        <f>SUMIF(61:61,E8,62:62)-SUMIF(61:61,C8,62:62)+100</f>
        <v>100</v>
      </c>
      <c r="G8" s="856" t="s">
        <v>3141</v>
      </c>
      <c r="H8" s="520">
        <f>SUMIF(61:61,G8,62:62)-SUMIF(61:61,C8,62:62)+100</f>
        <v>100</v>
      </c>
      <c r="I8" s="856" t="s">
        <v>3141</v>
      </c>
      <c r="J8" s="520">
        <f>SUMIF(61:61,I8,62:62)-SUMIF(61:61,C8,62:62)+100</f>
        <v>100</v>
      </c>
      <c r="K8" s="855"/>
      <c r="L8" s="2118"/>
      <c r="M8" s="2119"/>
      <c r="N8" s="2119"/>
      <c r="O8" s="2119"/>
      <c r="P8" s="3502" t="s">
        <v>533</v>
      </c>
      <c r="Q8" s="3503"/>
      <c r="R8" s="1554" t="s">
        <v>13</v>
      </c>
      <c r="S8" s="1555">
        <f t="shared" si="0"/>
        <v>100</v>
      </c>
      <c r="T8" s="1554" t="s">
        <v>13</v>
      </c>
      <c r="U8" s="1555">
        <f t="shared" si="1"/>
        <v>100</v>
      </c>
      <c r="V8" s="1554" t="s">
        <v>13</v>
      </c>
      <c r="W8" s="1555">
        <f t="shared" si="2"/>
        <v>100</v>
      </c>
      <c r="X8" s="1556"/>
      <c r="Y8" s="3502" t="s">
        <v>533</v>
      </c>
      <c r="Z8" s="3503"/>
      <c r="AA8" s="1557">
        <f t="shared" ref="AA8:AA46" si="3">D8/F8</f>
        <v>1</v>
      </c>
      <c r="AB8" s="1557">
        <f t="shared" ref="AB8:AB46" si="4">D8/H8</f>
        <v>1</v>
      </c>
      <c r="AC8" s="1557">
        <f t="shared" ref="AC8:AC46" si="5">D8/J8</f>
        <v>1</v>
      </c>
    </row>
    <row r="9" spans="1:29" s="1216" customFormat="1" ht="14.4">
      <c r="A9" s="2867"/>
      <c r="B9" s="2874" t="s">
        <v>2752</v>
      </c>
      <c r="C9" s="3245" t="s">
        <v>3305</v>
      </c>
      <c r="D9" s="254">
        <v>100</v>
      </c>
      <c r="E9" s="858" t="s">
        <v>923</v>
      </c>
      <c r="F9" s="859">
        <f>SUMIF(63:63,E9,64:64)-SUMIF(63:63,C9,64:64)+100</f>
        <v>100</v>
      </c>
      <c r="G9" s="858" t="s">
        <v>923</v>
      </c>
      <c r="H9" s="254">
        <f>SUMIF(63:63,G9,64:64)-SUMIF(63:63,C9,64:64)+100</f>
        <v>100</v>
      </c>
      <c r="I9" s="858" t="s">
        <v>923</v>
      </c>
      <c r="J9" s="254">
        <f>SUMIF(63:63,I9,64:64)-SUMIF(63:63,C9,64:64)+100</f>
        <v>100</v>
      </c>
      <c r="K9" s="855"/>
      <c r="L9" s="2118"/>
      <c r="M9" s="2119"/>
      <c r="N9" s="2119"/>
      <c r="O9" s="2120"/>
      <c r="P9" s="3510" t="s">
        <v>535</v>
      </c>
      <c r="Q9" s="1147" t="str">
        <f t="shared" ref="Q9:Q15" si="6">B9</f>
        <v>用途</v>
      </c>
      <c r="R9" s="1554" t="s">
        <v>8</v>
      </c>
      <c r="S9" s="1555">
        <f t="shared" si="0"/>
        <v>100</v>
      </c>
      <c r="T9" s="1554" t="s">
        <v>8</v>
      </c>
      <c r="U9" s="1555">
        <f t="shared" si="1"/>
        <v>100</v>
      </c>
      <c r="V9" s="1554" t="s">
        <v>8</v>
      </c>
      <c r="W9" s="1555">
        <f t="shared" si="2"/>
        <v>100</v>
      </c>
      <c r="X9" s="1556"/>
      <c r="Y9" s="3467" t="s">
        <v>536</v>
      </c>
      <c r="Z9" s="1146" t="str">
        <f t="shared" ref="Z9:Z15" si="7">Q9</f>
        <v>用途</v>
      </c>
      <c r="AA9" s="1557">
        <f t="shared" si="3"/>
        <v>1</v>
      </c>
      <c r="AB9" s="1557">
        <f t="shared" si="4"/>
        <v>1</v>
      </c>
      <c r="AC9" s="1557">
        <f t="shared" si="5"/>
        <v>1</v>
      </c>
    </row>
    <row r="10" spans="1:29" s="1334" customFormat="1" ht="28.8">
      <c r="A10" s="2868"/>
      <c r="B10" s="2873" t="s">
        <v>2753</v>
      </c>
      <c r="C10" s="861" t="s">
        <v>3307</v>
      </c>
      <c r="D10" s="255">
        <v>100</v>
      </c>
      <c r="E10" s="861" t="s">
        <v>3307</v>
      </c>
      <c r="F10" s="863">
        <f>SUMIF(65:65,E10,66:66)-SUMIF(65:65,C10,66:66)+100</f>
        <v>100</v>
      </c>
      <c r="G10" s="861" t="s">
        <v>3341</v>
      </c>
      <c r="H10" s="255">
        <f>SUMIF(65:65,G10,66:66)-SUMIF(65:65,C10,66:66)+100</f>
        <v>104</v>
      </c>
      <c r="I10" s="861" t="s">
        <v>3307</v>
      </c>
      <c r="J10" s="255">
        <f>SUMIF(65:65,I10,66:66)-SUMIF(65:65,C10,66:66)+100</f>
        <v>100</v>
      </c>
      <c r="K10" s="864">
        <v>2</v>
      </c>
      <c r="L10" s="2121"/>
      <c r="M10" s="2161"/>
      <c r="N10" s="2161"/>
      <c r="O10" s="2122"/>
      <c r="P10" s="3510"/>
      <c r="Q10" s="1147" t="str">
        <f t="shared" si="6"/>
        <v>土地使用年限（年）</v>
      </c>
      <c r="R10" s="1554" t="s">
        <v>8</v>
      </c>
      <c r="S10" s="1555">
        <f t="shared" si="0"/>
        <v>100</v>
      </c>
      <c r="T10" s="1554" t="s">
        <v>8</v>
      </c>
      <c r="U10" s="1555">
        <f t="shared" si="1"/>
        <v>104</v>
      </c>
      <c r="V10" s="1554" t="s">
        <v>8</v>
      </c>
      <c r="W10" s="1555">
        <f t="shared" si="2"/>
        <v>100</v>
      </c>
      <c r="X10" s="1556"/>
      <c r="Y10" s="3467"/>
      <c r="Z10" s="1146" t="str">
        <f t="shared" si="7"/>
        <v>土地使用年限（年）</v>
      </c>
      <c r="AA10" s="1557">
        <f t="shared" si="3"/>
        <v>1</v>
      </c>
      <c r="AB10" s="1557">
        <f t="shared" si="4"/>
        <v>0.96153846153846156</v>
      </c>
      <c r="AC10" s="1557">
        <f t="shared" si="5"/>
        <v>1</v>
      </c>
    </row>
    <row r="11" spans="1:29" ht="15">
      <c r="A11" s="2869"/>
      <c r="B11" s="2873" t="s">
        <v>2754</v>
      </c>
      <c r="C11" s="3255">
        <v>5.5</v>
      </c>
      <c r="D11" s="255">
        <v>100</v>
      </c>
      <c r="E11" s="534">
        <v>2.11</v>
      </c>
      <c r="F11" s="863">
        <f>LOOKUP(E11,68:68,69:69)-LOOKUP(C11,68:68,69:69)+100</f>
        <v>106</v>
      </c>
      <c r="G11" s="533">
        <v>2.99</v>
      </c>
      <c r="H11" s="255">
        <f>LOOKUP(G11,68:68,69:69)-LOOKUP(C11,68:68,69:69)+100</f>
        <v>106</v>
      </c>
      <c r="I11" s="533">
        <v>2.9</v>
      </c>
      <c r="J11" s="255">
        <f>LOOKUP(I11,68:68,69:69)-LOOKUP(C11,68:68,69:69)+100</f>
        <v>106</v>
      </c>
      <c r="K11" s="864">
        <v>2</v>
      </c>
      <c r="L11" s="2123"/>
      <c r="M11" s="2117"/>
      <c r="N11" s="2117"/>
      <c r="O11" s="2124"/>
      <c r="P11" s="3510"/>
      <c r="Q11" s="1147" t="str">
        <f t="shared" si="6"/>
        <v>容积率</v>
      </c>
      <c r="R11" s="1554" t="s">
        <v>11</v>
      </c>
      <c r="S11" s="1555">
        <f t="shared" si="0"/>
        <v>106</v>
      </c>
      <c r="T11" s="1554" t="s">
        <v>11</v>
      </c>
      <c r="U11" s="1555">
        <f t="shared" si="1"/>
        <v>106</v>
      </c>
      <c r="V11" s="1554" t="s">
        <v>11</v>
      </c>
      <c r="W11" s="1555">
        <f t="shared" si="2"/>
        <v>106</v>
      </c>
      <c r="X11" s="1556"/>
      <c r="Y11" s="3467"/>
      <c r="Z11" s="1146" t="str">
        <f t="shared" si="7"/>
        <v>容积率</v>
      </c>
      <c r="AA11" s="1557">
        <f t="shared" si="3"/>
        <v>0.94339622641509435</v>
      </c>
      <c r="AB11" s="1557">
        <f t="shared" si="4"/>
        <v>0.94339622641509435</v>
      </c>
      <c r="AC11" s="1557">
        <f t="shared" si="5"/>
        <v>0.94339622641509435</v>
      </c>
    </row>
    <row r="12" spans="1:29" s="1216" customFormat="1" ht="15">
      <c r="A12" s="2870"/>
      <c r="B12" s="2876">
        <v>111</v>
      </c>
      <c r="C12" s="528"/>
      <c r="D12" s="538">
        <v>100</v>
      </c>
      <c r="E12" s="528"/>
      <c r="F12" s="863">
        <f>SUMIF(70:70,E12,71:71)-SUMIF(70:70,C12,71:71)+100</f>
        <v>100</v>
      </c>
      <c r="G12" s="528"/>
      <c r="H12" s="255">
        <f>SUMIF(70:70,G12,71:71)-SUMIF(70:70,C12,71:71)+100</f>
        <v>100</v>
      </c>
      <c r="I12" s="528"/>
      <c r="J12" s="255">
        <f>SUMIF(70:70,I12,71:71)-SUMIF(70:70,C12,71:71)+100</f>
        <v>100</v>
      </c>
      <c r="K12" s="865"/>
      <c r="L12" s="2118"/>
      <c r="M12" s="2119"/>
      <c r="N12" s="2119"/>
      <c r="O12" s="2120"/>
      <c r="P12" s="3510"/>
      <c r="Q12" s="1147">
        <f t="shared" si="6"/>
        <v>111</v>
      </c>
      <c r="R12" s="1554" t="s">
        <v>11</v>
      </c>
      <c r="S12" s="1555">
        <f t="shared" si="0"/>
        <v>100</v>
      </c>
      <c r="T12" s="1554" t="s">
        <v>11</v>
      </c>
      <c r="U12" s="1555">
        <f t="shared" si="1"/>
        <v>100</v>
      </c>
      <c r="V12" s="1554" t="s">
        <v>11</v>
      </c>
      <c r="W12" s="1555">
        <f t="shared" si="2"/>
        <v>100</v>
      </c>
      <c r="X12" s="1556"/>
      <c r="Y12" s="3467"/>
      <c r="Z12" s="1146">
        <f t="shared" si="7"/>
        <v>111</v>
      </c>
      <c r="AA12" s="1557">
        <f>D12/F12</f>
        <v>1</v>
      </c>
      <c r="AB12" s="1557">
        <f>D12/H12</f>
        <v>1</v>
      </c>
      <c r="AC12" s="1557">
        <f>D12/J12</f>
        <v>1</v>
      </c>
    </row>
    <row r="13" spans="1:29" ht="15">
      <c r="A13" s="2870"/>
      <c r="B13" s="2876">
        <v>111</v>
      </c>
      <c r="C13" s="539"/>
      <c r="D13" s="540">
        <v>100</v>
      </c>
      <c r="E13" s="539"/>
      <c r="F13" s="863">
        <f>SUMIF(72:72,E13,73:73)-SUMIF(72:72,C13,73:73)+100</f>
        <v>100</v>
      </c>
      <c r="G13" s="539"/>
      <c r="H13" s="540">
        <f>SUMIF(72:72,G13,73:73)-SUMIF(72:72,C13,73:73)+100</f>
        <v>100</v>
      </c>
      <c r="I13" s="539"/>
      <c r="J13" s="540">
        <f>SUMIF(72:72,I13,73:73)-SUMIF(72:72,C13,73:73)+100</f>
        <v>100</v>
      </c>
      <c r="K13" s="865"/>
      <c r="L13" s="2125"/>
      <c r="M13" s="2117"/>
      <c r="N13" s="2117"/>
      <c r="O13" s="2124"/>
      <c r="P13" s="3510"/>
      <c r="Q13" s="1147">
        <f t="shared" si="6"/>
        <v>111</v>
      </c>
      <c r="R13" s="1554" t="s">
        <v>11</v>
      </c>
      <c r="S13" s="1555">
        <f t="shared" si="0"/>
        <v>100</v>
      </c>
      <c r="T13" s="1554" t="s">
        <v>11</v>
      </c>
      <c r="U13" s="1555">
        <f t="shared" si="1"/>
        <v>100</v>
      </c>
      <c r="V13" s="1554" t="s">
        <v>11</v>
      </c>
      <c r="W13" s="1555">
        <f t="shared" si="2"/>
        <v>100</v>
      </c>
      <c r="X13" s="1556"/>
      <c r="Y13" s="3467"/>
      <c r="Z13" s="1146">
        <f t="shared" si="7"/>
        <v>111</v>
      </c>
      <c r="AA13" s="1557">
        <f t="shared" si="3"/>
        <v>1</v>
      </c>
      <c r="AB13" s="1557">
        <f t="shared" si="4"/>
        <v>1</v>
      </c>
      <c r="AC13" s="1557">
        <f t="shared" si="5"/>
        <v>1</v>
      </c>
    </row>
    <row r="14" spans="1:29" ht="15.6" thickBot="1">
      <c r="A14" s="2871"/>
      <c r="B14" s="2877">
        <v>111</v>
      </c>
      <c r="C14" s="545"/>
      <c r="D14" s="546">
        <v>100</v>
      </c>
      <c r="E14" s="545"/>
      <c r="F14" s="866">
        <f>SUMIF(74:74,E14,75:75)-SUMIF(74:74,C14,75:75)+100</f>
        <v>100</v>
      </c>
      <c r="G14" s="545"/>
      <c r="H14" s="546">
        <f>SUMIF(74:74,G14,75:75)-SUMIF(74:74,C14,75:75)+100</f>
        <v>100</v>
      </c>
      <c r="I14" s="545"/>
      <c r="J14" s="546">
        <f>SUMIF(74:74,I14,75:75)-SUMIF(74:74,C14,75:75)+100</f>
        <v>100</v>
      </c>
      <c r="K14" s="865"/>
      <c r="L14" s="2125"/>
      <c r="M14" s="2117"/>
      <c r="N14" s="2117"/>
      <c r="O14" s="2124"/>
      <c r="P14" s="3510"/>
      <c r="Q14" s="1147">
        <f t="shared" si="6"/>
        <v>111</v>
      </c>
      <c r="R14" s="1554" t="s">
        <v>11</v>
      </c>
      <c r="S14" s="1555">
        <f t="shared" si="0"/>
        <v>100</v>
      </c>
      <c r="T14" s="1554" t="s">
        <v>11</v>
      </c>
      <c r="U14" s="1555">
        <f t="shared" si="1"/>
        <v>100</v>
      </c>
      <c r="V14" s="1554" t="s">
        <v>11</v>
      </c>
      <c r="W14" s="1555">
        <f t="shared" si="2"/>
        <v>100</v>
      </c>
      <c r="X14" s="1556"/>
      <c r="Y14" s="3467"/>
      <c r="Z14" s="1146">
        <f t="shared" si="7"/>
        <v>111</v>
      </c>
      <c r="AA14" s="1557">
        <f t="shared" si="3"/>
        <v>1</v>
      </c>
      <c r="AB14" s="1557">
        <f t="shared" si="4"/>
        <v>1</v>
      </c>
      <c r="AC14" s="1557">
        <f t="shared" si="5"/>
        <v>1</v>
      </c>
    </row>
    <row r="15" spans="1:29" ht="15">
      <c r="A15" s="2863" t="s">
        <v>2750</v>
      </c>
      <c r="B15" s="166" t="s">
        <v>295</v>
      </c>
      <c r="C15" s="867" t="str">
        <f>估价对象房地状况!C3</f>
        <v>较好</v>
      </c>
      <c r="D15" s="549">
        <v>100</v>
      </c>
      <c r="E15" s="550"/>
      <c r="F15" s="551">
        <f>SUMIF(76:76,E16,77:77)-SUMIF(76:76,C16,77:77)+100</f>
        <v>100</v>
      </c>
      <c r="G15" s="552"/>
      <c r="H15" s="549">
        <f>SUMIF(76:76,G16,77:77)-SUMIF(76:76,C16,77:77)+100</f>
        <v>100</v>
      </c>
      <c r="I15" s="550"/>
      <c r="J15" s="549">
        <f>SUMIF(76:76,I16,77:77)-SUMIF(76:76,C16,77:77)+100</f>
        <v>100</v>
      </c>
      <c r="K15" s="868">
        <v>2</v>
      </c>
      <c r="L15" s="2125"/>
      <c r="M15" s="2117"/>
      <c r="N15" s="2117"/>
      <c r="O15" s="2124"/>
      <c r="P15" s="3512" t="s">
        <v>540</v>
      </c>
      <c r="Q15" s="1558" t="str">
        <f t="shared" si="6"/>
        <v>居住社区成熟度</v>
      </c>
      <c r="R15" s="1559" t="s">
        <v>11</v>
      </c>
      <c r="S15" s="1560">
        <f t="shared" si="0"/>
        <v>100</v>
      </c>
      <c r="T15" s="1559" t="s">
        <v>11</v>
      </c>
      <c r="U15" s="1560">
        <f t="shared" si="1"/>
        <v>100</v>
      </c>
      <c r="V15" s="1559" t="s">
        <v>11</v>
      </c>
      <c r="W15" s="1560">
        <f t="shared" si="2"/>
        <v>100</v>
      </c>
      <c r="X15" s="1553"/>
      <c r="Y15" s="3512" t="s">
        <v>540</v>
      </c>
      <c r="Z15" s="1561" t="str">
        <f t="shared" si="7"/>
        <v>居住社区成熟度</v>
      </c>
      <c r="AA15" s="1562">
        <f t="shared" si="3"/>
        <v>1</v>
      </c>
      <c r="AB15" s="1562">
        <f t="shared" si="4"/>
        <v>1</v>
      </c>
      <c r="AC15" s="1562">
        <f t="shared" si="5"/>
        <v>1</v>
      </c>
    </row>
    <row r="16" spans="1:29" ht="15">
      <c r="A16" s="532"/>
      <c r="B16" s="869"/>
      <c r="C16" s="576" t="s">
        <v>3134</v>
      </c>
      <c r="D16" s="555"/>
      <c r="E16" s="576" t="s">
        <v>3134</v>
      </c>
      <c r="F16" s="557"/>
      <c r="G16" s="576" t="s">
        <v>3134</v>
      </c>
      <c r="H16" s="559"/>
      <c r="I16" s="576" t="s">
        <v>3134</v>
      </c>
      <c r="J16" s="555"/>
      <c r="K16" s="870"/>
      <c r="L16" s="2125"/>
      <c r="M16" s="2117"/>
      <c r="N16" s="2117"/>
      <c r="O16" s="2124"/>
      <c r="P16" s="3513"/>
      <c r="Q16" s="1558"/>
      <c r="R16" s="1559"/>
      <c r="S16" s="1560"/>
      <c r="T16" s="1559"/>
      <c r="U16" s="1560"/>
      <c r="V16" s="1559"/>
      <c r="W16" s="1560"/>
      <c r="X16" s="1553"/>
      <c r="Y16" s="3513"/>
      <c r="Z16" s="1561"/>
      <c r="AA16" s="1562">
        <v>1</v>
      </c>
      <c r="AB16" s="1562">
        <v>1</v>
      </c>
      <c r="AC16" s="1562">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68">
        <v>2</v>
      </c>
      <c r="L17" s="2125"/>
      <c r="M17" s="2117"/>
      <c r="N17" s="2117"/>
      <c r="O17" s="2124"/>
      <c r="P17" s="3513"/>
      <c r="Q17" s="1558" t="str">
        <f>B17</f>
        <v>交通便捷度</v>
      </c>
      <c r="R17" s="1559" t="s">
        <v>11</v>
      </c>
      <c r="S17" s="1560">
        <f>F17</f>
        <v>100</v>
      </c>
      <c r="T17" s="1559" t="s">
        <v>11</v>
      </c>
      <c r="U17" s="1560">
        <f>H17</f>
        <v>100</v>
      </c>
      <c r="V17" s="1559" t="s">
        <v>11</v>
      </c>
      <c r="W17" s="1560">
        <f>J17</f>
        <v>100</v>
      </c>
      <c r="X17" s="1553"/>
      <c r="Y17" s="3513"/>
      <c r="Z17" s="1561" t="str">
        <f>Q17</f>
        <v>交通便捷度</v>
      </c>
      <c r="AA17" s="1562">
        <f t="shared" si="3"/>
        <v>1</v>
      </c>
      <c r="AB17" s="1562">
        <f t="shared" si="4"/>
        <v>1</v>
      </c>
      <c r="AC17" s="1562">
        <f t="shared" si="5"/>
        <v>1</v>
      </c>
    </row>
    <row r="18" spans="1:29" ht="15">
      <c r="A18" s="532"/>
      <c r="B18" s="595"/>
      <c r="C18" s="873" t="s">
        <v>3134</v>
      </c>
      <c r="D18" s="559"/>
      <c r="E18" s="568" t="s">
        <v>3134</v>
      </c>
      <c r="F18" s="563"/>
      <c r="G18" s="576" t="s">
        <v>3134</v>
      </c>
      <c r="H18" s="555"/>
      <c r="I18" s="576" t="s">
        <v>3134</v>
      </c>
      <c r="J18" s="555"/>
      <c r="K18" s="870"/>
      <c r="L18" s="2125"/>
      <c r="M18" s="2117"/>
      <c r="N18" s="2117"/>
      <c r="O18" s="2124"/>
      <c r="P18" s="3513"/>
      <c r="Q18" s="1558"/>
      <c r="R18" s="1559"/>
      <c r="S18" s="1560"/>
      <c r="T18" s="1559"/>
      <c r="U18" s="1560"/>
      <c r="V18" s="1559"/>
      <c r="W18" s="1560"/>
      <c r="X18" s="1553"/>
      <c r="Y18" s="3513"/>
      <c r="Z18" s="1561"/>
      <c r="AA18" s="1562">
        <v>1</v>
      </c>
      <c r="AB18" s="1562">
        <v>1</v>
      </c>
      <c r="AC18" s="1562">
        <v>1</v>
      </c>
    </row>
    <row r="19" spans="1:29" ht="15">
      <c r="A19" s="532"/>
      <c r="B19" s="2562"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68">
        <v>2</v>
      </c>
      <c r="L19" s="2125"/>
      <c r="M19" s="2117"/>
      <c r="N19" s="2117"/>
      <c r="O19" s="2124"/>
      <c r="P19" s="3513"/>
      <c r="Q19" s="1558" t="str">
        <f>B19</f>
        <v>公共配套设施</v>
      </c>
      <c r="R19" s="1559" t="s">
        <v>11</v>
      </c>
      <c r="S19" s="1560">
        <f>F19</f>
        <v>100</v>
      </c>
      <c r="T19" s="1559" t="s">
        <v>11</v>
      </c>
      <c r="U19" s="1560">
        <f>H19</f>
        <v>100</v>
      </c>
      <c r="V19" s="1559" t="s">
        <v>11</v>
      </c>
      <c r="W19" s="1560">
        <f>J19</f>
        <v>100</v>
      </c>
      <c r="X19" s="1553"/>
      <c r="Y19" s="3513"/>
      <c r="Z19" s="1561" t="str">
        <f>Q19</f>
        <v>公共配套设施</v>
      </c>
      <c r="AA19" s="1562">
        <f t="shared" si="3"/>
        <v>1</v>
      </c>
      <c r="AB19" s="1562">
        <f t="shared" si="4"/>
        <v>1</v>
      </c>
      <c r="AC19" s="1562">
        <f t="shared" si="5"/>
        <v>1</v>
      </c>
    </row>
    <row r="20" spans="1:29" ht="15">
      <c r="A20" s="532"/>
      <c r="B20" s="595"/>
      <c r="C20" s="576" t="s">
        <v>3329</v>
      </c>
      <c r="D20" s="555"/>
      <c r="E20" s="576" t="s">
        <v>3329</v>
      </c>
      <c r="F20" s="557"/>
      <c r="G20" s="576" t="s">
        <v>3329</v>
      </c>
      <c r="H20" s="555"/>
      <c r="I20" s="576" t="s">
        <v>3329</v>
      </c>
      <c r="J20" s="555"/>
      <c r="K20" s="870"/>
      <c r="L20" s="2125"/>
      <c r="M20" s="2117"/>
      <c r="N20" s="2117"/>
      <c r="O20" s="2124"/>
      <c r="P20" s="3513"/>
      <c r="Q20" s="1558"/>
      <c r="R20" s="1559"/>
      <c r="S20" s="1560"/>
      <c r="T20" s="1559"/>
      <c r="U20" s="1560"/>
      <c r="V20" s="1559"/>
      <c r="W20" s="1560"/>
      <c r="X20" s="1553"/>
      <c r="Y20" s="3513"/>
      <c r="Z20" s="1561"/>
      <c r="AA20" s="1562">
        <v>1</v>
      </c>
      <c r="AB20" s="1562">
        <v>1</v>
      </c>
      <c r="AC20" s="1562">
        <v>1</v>
      </c>
    </row>
    <row r="21" spans="1:29" ht="15">
      <c r="A21" s="532"/>
      <c r="B21" s="2555" t="s">
        <v>2555</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2</v>
      </c>
      <c r="L21" s="2125"/>
      <c r="M21" s="2117"/>
      <c r="N21" s="2117"/>
      <c r="O21" s="2124"/>
      <c r="P21" s="3513"/>
      <c r="Q21" s="2541" t="str">
        <f>B21</f>
        <v>基础设施水平</v>
      </c>
      <c r="R21" s="1559" t="s">
        <v>11</v>
      </c>
      <c r="S21" s="1560">
        <f>F21</f>
        <v>100</v>
      </c>
      <c r="T21" s="1559" t="s">
        <v>11</v>
      </c>
      <c r="U21" s="1560">
        <f>H21</f>
        <v>100</v>
      </c>
      <c r="V21" s="1559" t="s">
        <v>11</v>
      </c>
      <c r="W21" s="1560">
        <f>J21</f>
        <v>100</v>
      </c>
      <c r="X21" s="2543"/>
      <c r="Y21" s="3513"/>
      <c r="Z21" s="2542" t="str">
        <f>Q21</f>
        <v>基础设施水平</v>
      </c>
      <c r="AA21" s="1562">
        <f t="shared" ref="AA21" si="8">D21/F21</f>
        <v>1</v>
      </c>
      <c r="AB21" s="1562">
        <f t="shared" ref="AB21" si="9">D21/H21</f>
        <v>1</v>
      </c>
      <c r="AC21" s="1562">
        <f t="shared" ref="AC21" si="10">D21/J21</f>
        <v>1</v>
      </c>
    </row>
    <row r="22" spans="1:29" ht="15">
      <c r="A22" s="532"/>
      <c r="B22" s="922"/>
      <c r="C22" s="873" t="s">
        <v>3136</v>
      </c>
      <c r="D22" s="555"/>
      <c r="E22" s="873" t="s">
        <v>3136</v>
      </c>
      <c r="F22" s="557"/>
      <c r="G22" s="873" t="s">
        <v>3136</v>
      </c>
      <c r="H22" s="555"/>
      <c r="I22" s="873" t="s">
        <v>3136</v>
      </c>
      <c r="J22" s="555"/>
      <c r="K22" s="2561"/>
      <c r="L22" s="2125"/>
      <c r="M22" s="2117"/>
      <c r="N22" s="2117"/>
      <c r="O22" s="2124"/>
      <c r="P22" s="3513"/>
      <c r="Q22" s="2541"/>
      <c r="R22" s="1559"/>
      <c r="S22" s="1560"/>
      <c r="T22" s="1559"/>
      <c r="U22" s="1560"/>
      <c r="V22" s="1559"/>
      <c r="W22" s="1560"/>
      <c r="X22" s="2543"/>
      <c r="Y22" s="3513"/>
      <c r="Z22" s="2542"/>
      <c r="AA22" s="1562">
        <v>1</v>
      </c>
      <c r="AB22" s="1562">
        <v>1</v>
      </c>
      <c r="AC22" s="1562">
        <v>1</v>
      </c>
    </row>
    <row r="23" spans="1:29" ht="15">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68">
        <v>2</v>
      </c>
      <c r="L23" s="2125"/>
      <c r="M23" s="2117"/>
      <c r="N23" s="2117"/>
      <c r="O23" s="2124"/>
      <c r="P23" s="3513"/>
      <c r="Q23" s="1558" t="str">
        <f>B23</f>
        <v>自然及人文环境</v>
      </c>
      <c r="R23" s="1559" t="s">
        <v>11</v>
      </c>
      <c r="S23" s="1560">
        <f>F23</f>
        <v>100</v>
      </c>
      <c r="T23" s="1559" t="s">
        <v>11</v>
      </c>
      <c r="U23" s="1560">
        <f>H23</f>
        <v>100</v>
      </c>
      <c r="V23" s="1559" t="s">
        <v>11</v>
      </c>
      <c r="W23" s="1560">
        <f>J23</f>
        <v>100</v>
      </c>
      <c r="X23" s="1553"/>
      <c r="Y23" s="3513"/>
      <c r="Z23" s="1561" t="str">
        <f>Q23</f>
        <v>自然及人文环境</v>
      </c>
      <c r="AA23" s="1562">
        <f t="shared" si="3"/>
        <v>1</v>
      </c>
      <c r="AB23" s="1562">
        <f t="shared" si="4"/>
        <v>1</v>
      </c>
      <c r="AC23" s="1562">
        <f t="shared" si="5"/>
        <v>1</v>
      </c>
    </row>
    <row r="24" spans="1:29" ht="15">
      <c r="A24" s="532"/>
      <c r="B24" s="595"/>
      <c r="C24" s="576" t="s">
        <v>3329</v>
      </c>
      <c r="D24" s="555"/>
      <c r="E24" s="576" t="s">
        <v>3329</v>
      </c>
      <c r="F24" s="557"/>
      <c r="G24" s="576" t="s">
        <v>3329</v>
      </c>
      <c r="H24" s="555"/>
      <c r="I24" s="576" t="s">
        <v>3329</v>
      </c>
      <c r="J24" s="555"/>
      <c r="K24" s="870"/>
      <c r="L24" s="2125"/>
      <c r="M24" s="2117"/>
      <c r="N24" s="2117"/>
      <c r="O24" s="2124"/>
      <c r="P24" s="3513"/>
      <c r="Q24" s="1558"/>
      <c r="R24" s="1559"/>
      <c r="S24" s="1560"/>
      <c r="T24" s="1559"/>
      <c r="U24" s="1560"/>
      <c r="V24" s="1559"/>
      <c r="W24" s="1560"/>
      <c r="X24" s="1553"/>
      <c r="Y24" s="3513"/>
      <c r="Z24" s="1561"/>
      <c r="AA24" s="1562">
        <v>1</v>
      </c>
      <c r="AB24" s="1562">
        <v>1</v>
      </c>
      <c r="AC24" s="1562">
        <v>1</v>
      </c>
    </row>
    <row r="25" spans="1:29" ht="15">
      <c r="A25" s="532"/>
      <c r="B25" s="1878" t="s">
        <v>2253</v>
      </c>
      <c r="C25" s="574"/>
      <c r="D25" s="540">
        <v>100</v>
      </c>
      <c r="E25" s="874"/>
      <c r="F25" s="575">
        <f>SUMIF(86:86,E25,87:87)-SUMIF(86:86,C25,87:87)+100</f>
        <v>100</v>
      </c>
      <c r="G25" s="599"/>
      <c r="H25" s="540">
        <f>SUMIF(86:86,G25,87:87)-SUMIF(86:86,C25,87:87)+100</f>
        <v>100</v>
      </c>
      <c r="I25" s="874"/>
      <c r="J25" s="540">
        <f>SUMIF(86:86,I25,87:87)-SUMIF(86:86,C25,87:87)+100</f>
        <v>100</v>
      </c>
      <c r="K25" s="864">
        <v>2</v>
      </c>
      <c r="L25" s="2125"/>
      <c r="M25" s="2117"/>
      <c r="N25" s="2117"/>
      <c r="O25" s="2124"/>
      <c r="P25" s="3513"/>
      <c r="Q25" s="1558" t="str">
        <f t="shared" ref="Q25:Q46" si="11">B25</f>
        <v>楼层-1</v>
      </c>
      <c r="R25" s="1559" t="s">
        <v>11</v>
      </c>
      <c r="S25" s="1560">
        <f>F25</f>
        <v>100</v>
      </c>
      <c r="T25" s="1559" t="s">
        <v>11</v>
      </c>
      <c r="U25" s="1560">
        <f>H25</f>
        <v>100</v>
      </c>
      <c r="V25" s="1559" t="s">
        <v>11</v>
      </c>
      <c r="W25" s="1560">
        <f>J25</f>
        <v>100</v>
      </c>
      <c r="X25" s="1553"/>
      <c r="Y25" s="3513"/>
      <c r="Z25" s="1561" t="str">
        <f>Q25</f>
        <v>楼层-1</v>
      </c>
      <c r="AA25" s="1562">
        <f t="shared" si="3"/>
        <v>1</v>
      </c>
      <c r="AB25" s="1562">
        <f t="shared" si="4"/>
        <v>1</v>
      </c>
      <c r="AC25" s="156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v>2</v>
      </c>
      <c r="L26" s="2125"/>
      <c r="M26" s="2117"/>
      <c r="N26" s="2117"/>
      <c r="O26" s="2124"/>
      <c r="P26" s="3513"/>
      <c r="Q26" s="1558" t="str">
        <f t="shared" si="11"/>
        <v>朝向</v>
      </c>
      <c r="R26" s="1559" t="s">
        <v>11</v>
      </c>
      <c r="S26" s="1560">
        <f>F26</f>
        <v>100</v>
      </c>
      <c r="T26" s="1559" t="s">
        <v>11</v>
      </c>
      <c r="U26" s="1560">
        <f>H26</f>
        <v>100</v>
      </c>
      <c r="V26" s="1559" t="s">
        <v>11</v>
      </c>
      <c r="W26" s="1560">
        <f>J26</f>
        <v>100</v>
      </c>
      <c r="X26" s="1553"/>
      <c r="Y26" s="3513"/>
      <c r="Z26" s="1561" t="str">
        <f>Q26</f>
        <v>朝向</v>
      </c>
      <c r="AA26" s="1562">
        <f t="shared" si="3"/>
        <v>1</v>
      </c>
      <c r="AB26" s="1562">
        <f t="shared" si="4"/>
        <v>1</v>
      </c>
      <c r="AC26" s="1562">
        <f t="shared" si="5"/>
        <v>1</v>
      </c>
    </row>
    <row r="27" spans="1:29" s="1216" customFormat="1" ht="15">
      <c r="A27" s="536"/>
      <c r="B27" s="537" t="s">
        <v>724</v>
      </c>
      <c r="C27" s="3246" t="s">
        <v>3312</v>
      </c>
      <c r="D27" s="875">
        <v>100</v>
      </c>
      <c r="E27" s="3247" t="s">
        <v>3313</v>
      </c>
      <c r="F27" s="876">
        <f>SUMIF(90:90,E27,91:91)-SUMIF(90:90,C27,91:91)+100</f>
        <v>98</v>
      </c>
      <c r="G27" s="3247" t="s">
        <v>3313</v>
      </c>
      <c r="H27" s="875">
        <f>SUMIF(90:90,G27,91:91)-SUMIF(90:90,C27,91:91)+100</f>
        <v>98</v>
      </c>
      <c r="I27" s="3246" t="s">
        <v>3312</v>
      </c>
      <c r="J27" s="875">
        <f>SUMIF(90:90,I27,91:91)-SUMIF(90:90,C27,91:91)+100</f>
        <v>100</v>
      </c>
      <c r="K27" s="865"/>
      <c r="L27" s="2118"/>
      <c r="M27" s="2119"/>
      <c r="N27" s="2119"/>
      <c r="O27" s="2120"/>
      <c r="P27" s="3513"/>
      <c r="Q27" s="1147" t="str">
        <f t="shared" si="11"/>
        <v>道路级别</v>
      </c>
      <c r="R27" s="1554" t="s">
        <v>11</v>
      </c>
      <c r="S27" s="1555">
        <f>F27</f>
        <v>98</v>
      </c>
      <c r="T27" s="1554" t="s">
        <v>11</v>
      </c>
      <c r="U27" s="1555">
        <f>H27</f>
        <v>98</v>
      </c>
      <c r="V27" s="1554" t="s">
        <v>11</v>
      </c>
      <c r="W27" s="1555">
        <f>J27</f>
        <v>100</v>
      </c>
      <c r="X27" s="1556"/>
      <c r="Y27" s="3513"/>
      <c r="Z27" s="1146" t="str">
        <f>Q27</f>
        <v>道路级别</v>
      </c>
      <c r="AA27" s="1562">
        <f>D27/F27</f>
        <v>1.0204081632653061</v>
      </c>
      <c r="AB27" s="1562">
        <f>D27/H27</f>
        <v>1.0204081632653061</v>
      </c>
      <c r="AC27" s="156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5"/>
      <c r="M28" s="2117"/>
      <c r="N28" s="2117"/>
      <c r="O28" s="2124"/>
      <c r="P28" s="3513"/>
      <c r="Q28" s="1558">
        <f t="shared" si="11"/>
        <v>111</v>
      </c>
      <c r="R28" s="1559" t="s">
        <v>11</v>
      </c>
      <c r="S28" s="1560">
        <f t="shared" ref="S28:S46" si="12">F28</f>
        <v>100</v>
      </c>
      <c r="T28" s="1559" t="s">
        <v>11</v>
      </c>
      <c r="U28" s="1560">
        <f t="shared" ref="U28:U46" si="13">H28</f>
        <v>100</v>
      </c>
      <c r="V28" s="1559" t="s">
        <v>11</v>
      </c>
      <c r="W28" s="1560">
        <f t="shared" ref="W28:W46" si="14">J28</f>
        <v>100</v>
      </c>
      <c r="X28" s="1553"/>
      <c r="Y28" s="3513"/>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5"/>
      <c r="M29" s="2117"/>
      <c r="N29" s="2117"/>
      <c r="O29" s="2124"/>
      <c r="P29" s="3513"/>
      <c r="Q29" s="1558">
        <f t="shared" si="11"/>
        <v>111</v>
      </c>
      <c r="R29" s="1559" t="s">
        <v>11</v>
      </c>
      <c r="S29" s="1560">
        <f t="shared" si="12"/>
        <v>100</v>
      </c>
      <c r="T29" s="1559" t="s">
        <v>11</v>
      </c>
      <c r="U29" s="1560">
        <f t="shared" si="13"/>
        <v>100</v>
      </c>
      <c r="V29" s="1559" t="s">
        <v>11</v>
      </c>
      <c r="W29" s="1560">
        <f t="shared" si="14"/>
        <v>100</v>
      </c>
      <c r="X29" s="1553"/>
      <c r="Y29" s="3513"/>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5"/>
      <c r="M30" s="2117"/>
      <c r="N30" s="2117"/>
      <c r="O30" s="2124"/>
      <c r="P30" s="3513"/>
      <c r="Q30" s="1558">
        <f t="shared" si="11"/>
        <v>111</v>
      </c>
      <c r="R30" s="1559" t="s">
        <v>11</v>
      </c>
      <c r="S30" s="1560">
        <f t="shared" si="12"/>
        <v>100</v>
      </c>
      <c r="T30" s="1559" t="s">
        <v>11</v>
      </c>
      <c r="U30" s="1560">
        <f t="shared" si="13"/>
        <v>100</v>
      </c>
      <c r="V30" s="1559" t="s">
        <v>11</v>
      </c>
      <c r="W30" s="1560">
        <f t="shared" si="14"/>
        <v>100</v>
      </c>
      <c r="X30" s="1553"/>
      <c r="Y30" s="3513"/>
      <c r="Z30" s="1561">
        <f t="shared" si="15"/>
        <v>111</v>
      </c>
      <c r="AA30" s="1562">
        <f t="shared" si="3"/>
        <v>1</v>
      </c>
      <c r="AB30" s="1562">
        <f t="shared" si="4"/>
        <v>1</v>
      </c>
      <c r="AC30" s="1562">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5"/>
      <c r="M31" s="2117"/>
      <c r="N31" s="2117"/>
      <c r="O31" s="2124"/>
      <c r="P31" s="3513"/>
      <c r="Q31" s="1558">
        <f t="shared" si="11"/>
        <v>111</v>
      </c>
      <c r="R31" s="1559" t="s">
        <v>11</v>
      </c>
      <c r="S31" s="1560">
        <f t="shared" si="12"/>
        <v>100</v>
      </c>
      <c r="T31" s="1559" t="s">
        <v>11</v>
      </c>
      <c r="U31" s="1560">
        <f t="shared" si="13"/>
        <v>100</v>
      </c>
      <c r="V31" s="1559" t="s">
        <v>11</v>
      </c>
      <c r="W31" s="1560">
        <f t="shared" si="14"/>
        <v>100</v>
      </c>
      <c r="X31" s="1553"/>
      <c r="Y31" s="3513"/>
      <c r="Z31" s="1561">
        <f t="shared" si="15"/>
        <v>111</v>
      </c>
      <c r="AA31" s="1562">
        <f t="shared" si="3"/>
        <v>1</v>
      </c>
      <c r="AB31" s="1562">
        <f t="shared" si="4"/>
        <v>1</v>
      </c>
      <c r="AC31" s="1562">
        <f t="shared" si="5"/>
        <v>1</v>
      </c>
    </row>
    <row r="32" spans="1:29" ht="15">
      <c r="A32" s="2860" t="s">
        <v>2751</v>
      </c>
      <c r="B32" s="3256" t="s">
        <v>725</v>
      </c>
      <c r="C32" s="878" t="s">
        <v>3337</v>
      </c>
      <c r="D32" s="597">
        <v>100</v>
      </c>
      <c r="E32" s="879" t="s">
        <v>3155</v>
      </c>
      <c r="F32" s="575">
        <f>SUMIF(100:100,E32,101:101)-SUMIF(100:100,C32,101:101)+100</f>
        <v>98</v>
      </c>
      <c r="G32" s="878" t="s">
        <v>3155</v>
      </c>
      <c r="H32" s="597">
        <f>SUMIF(100:100,G32,101:101)-SUMIF(100:100,C32,101:101)+100</f>
        <v>98</v>
      </c>
      <c r="I32" s="879" t="s">
        <v>3155</v>
      </c>
      <c r="J32" s="540">
        <f>SUMIF(100:100,I32,101:101)-SUMIF(100:100,C32,101:101)+100</f>
        <v>98</v>
      </c>
      <c r="K32" s="864">
        <v>2</v>
      </c>
      <c r="L32" s="2125"/>
      <c r="M32" s="2117"/>
      <c r="N32" s="2117"/>
      <c r="O32" s="2124"/>
      <c r="P32" s="3514" t="s">
        <v>550</v>
      </c>
      <c r="Q32" s="1558" t="str">
        <f t="shared" si="11"/>
        <v>建筑类型</v>
      </c>
      <c r="R32" s="1559" t="s">
        <v>11</v>
      </c>
      <c r="S32" s="1560">
        <f t="shared" si="12"/>
        <v>98</v>
      </c>
      <c r="T32" s="1559" t="s">
        <v>11</v>
      </c>
      <c r="U32" s="1560">
        <f t="shared" si="13"/>
        <v>98</v>
      </c>
      <c r="V32" s="1559" t="s">
        <v>11</v>
      </c>
      <c r="W32" s="1560">
        <f t="shared" si="14"/>
        <v>98</v>
      </c>
      <c r="X32" s="1553"/>
      <c r="Y32" s="3515" t="s">
        <v>550</v>
      </c>
      <c r="Z32" s="1561" t="str">
        <f t="shared" si="15"/>
        <v>建筑类型</v>
      </c>
      <c r="AA32" s="1562">
        <f t="shared" si="3"/>
        <v>1.0204081632653061</v>
      </c>
      <c r="AB32" s="1562">
        <f t="shared" si="4"/>
        <v>1.0204081632653061</v>
      </c>
      <c r="AC32" s="1562">
        <f t="shared" si="5"/>
        <v>1.0204081632653061</v>
      </c>
    </row>
    <row r="33" spans="1:29" s="1335" customFormat="1" ht="15">
      <c r="A33" s="603"/>
      <c r="B33" s="527" t="s">
        <v>726</v>
      </c>
      <c r="C33" s="880">
        <f>'数据-基础表'!B3</f>
        <v>167887.58000000002</v>
      </c>
      <c r="D33" s="255">
        <v>100</v>
      </c>
      <c r="E33" s="534">
        <v>301371</v>
      </c>
      <c r="F33" s="863">
        <f>LOOKUP(E33,103:103,104:104)-LOOKUP(C33,103:103,104:104)+100</f>
        <v>104</v>
      </c>
      <c r="G33" s="533">
        <v>88245.8</v>
      </c>
      <c r="H33" s="255">
        <f>LOOKUP(G33,103:103,104:104)-LOOKUP(C33,103:103,104:104)+100</f>
        <v>98</v>
      </c>
      <c r="I33" s="534">
        <v>21312</v>
      </c>
      <c r="J33" s="255">
        <f>LOOKUP(I33,103:103,104:104)-LOOKUP(C33,103:103,104:104)+100</f>
        <v>98</v>
      </c>
      <c r="K33" s="865"/>
      <c r="L33" s="2123"/>
      <c r="M33" s="2154"/>
      <c r="N33" s="2154"/>
      <c r="O33" s="2126"/>
      <c r="P33" s="3515"/>
      <c r="Q33" s="1590" t="str">
        <f t="shared" si="11"/>
        <v>项目建筑规模</v>
      </c>
      <c r="R33" s="1563" t="s">
        <v>11</v>
      </c>
      <c r="S33" s="1564">
        <f t="shared" si="12"/>
        <v>104</v>
      </c>
      <c r="T33" s="1563" t="s">
        <v>11</v>
      </c>
      <c r="U33" s="1564">
        <f t="shared" si="13"/>
        <v>98</v>
      </c>
      <c r="V33" s="1563" t="s">
        <v>11</v>
      </c>
      <c r="W33" s="1564">
        <f t="shared" si="14"/>
        <v>98</v>
      </c>
      <c r="X33" s="1565"/>
      <c r="Y33" s="3515"/>
      <c r="Z33" s="1566" t="str">
        <f t="shared" si="15"/>
        <v>项目建筑规模</v>
      </c>
      <c r="AA33" s="1562">
        <f t="shared" si="3"/>
        <v>0.96153846153846156</v>
      </c>
      <c r="AB33" s="1562">
        <f t="shared" si="4"/>
        <v>1.0204081632653061</v>
      </c>
      <c r="AC33" s="1562">
        <f t="shared" si="5"/>
        <v>1.0204081632653061</v>
      </c>
    </row>
    <row r="34" spans="1:29" ht="15">
      <c r="A34" s="594"/>
      <c r="B34" s="527" t="s">
        <v>727</v>
      </c>
      <c r="C34" s="881" t="s">
        <v>3187</v>
      </c>
      <c r="D34" s="540">
        <v>100</v>
      </c>
      <c r="E34" s="881" t="s">
        <v>3187</v>
      </c>
      <c r="F34" s="575">
        <f>SUMIF(105:105,E34,106:106)-SUMIF(105:105,C34,106:106)+100</f>
        <v>100</v>
      </c>
      <c r="G34" s="881" t="s">
        <v>3187</v>
      </c>
      <c r="H34" s="540">
        <f>SUMIF(105:105,G34,106:106)-SUMIF(105:105,C34,106:106)+100</f>
        <v>100</v>
      </c>
      <c r="I34" s="881" t="s">
        <v>3187</v>
      </c>
      <c r="J34" s="540">
        <f>SUMIF(105:105,I34,106:106)-SUMIF(105:105,C34,106:106)+100</f>
        <v>100</v>
      </c>
      <c r="K34" s="864">
        <v>2</v>
      </c>
      <c r="L34" s="2125"/>
      <c r="M34" s="2117"/>
      <c r="N34" s="2117"/>
      <c r="O34" s="2124"/>
      <c r="P34" s="3515"/>
      <c r="Q34" s="1558" t="str">
        <f t="shared" si="11"/>
        <v>建筑结构</v>
      </c>
      <c r="R34" s="1559" t="s">
        <v>11</v>
      </c>
      <c r="S34" s="1560">
        <f t="shared" si="12"/>
        <v>100</v>
      </c>
      <c r="T34" s="1559" t="s">
        <v>11</v>
      </c>
      <c r="U34" s="1560">
        <f t="shared" si="13"/>
        <v>100</v>
      </c>
      <c r="V34" s="1559" t="s">
        <v>11</v>
      </c>
      <c r="W34" s="1560">
        <f t="shared" si="14"/>
        <v>100</v>
      </c>
      <c r="X34" s="1553"/>
      <c r="Y34" s="3515"/>
      <c r="Z34" s="1561" t="str">
        <f t="shared" si="15"/>
        <v>建筑结构</v>
      </c>
      <c r="AA34" s="1562">
        <f t="shared" si="3"/>
        <v>1</v>
      </c>
      <c r="AB34" s="1562">
        <f t="shared" si="4"/>
        <v>1</v>
      </c>
      <c r="AC34" s="1562">
        <f t="shared" si="5"/>
        <v>1</v>
      </c>
    </row>
    <row r="35" spans="1:29" ht="15">
      <c r="A35" s="594"/>
      <c r="B35" s="527" t="s">
        <v>728</v>
      </c>
      <c r="C35" s="599" t="s">
        <v>3316</v>
      </c>
      <c r="D35" s="540">
        <v>100</v>
      </c>
      <c r="E35" s="599" t="s">
        <v>3316</v>
      </c>
      <c r="F35" s="575">
        <f>SUMIF(107:107,E35,108:108)-SUMIF(107:107,C35,108:108)+100</f>
        <v>100</v>
      </c>
      <c r="G35" s="599" t="s">
        <v>3316</v>
      </c>
      <c r="H35" s="540">
        <f>SUMIF(107:107,G35,108:108)-SUMIF(107:107,C35,108:108)+100</f>
        <v>100</v>
      </c>
      <c r="I35" s="599" t="s">
        <v>3316</v>
      </c>
      <c r="J35" s="540">
        <f>SUMIF(107:107,I35,108:108)-SUMIF(107:107,C35,108:108)+100</f>
        <v>100</v>
      </c>
      <c r="K35" s="864">
        <v>2</v>
      </c>
      <c r="L35" s="2125"/>
      <c r="M35" s="2117"/>
      <c r="N35" s="2117"/>
      <c r="O35" s="2124"/>
      <c r="P35" s="3515"/>
      <c r="Q35" s="1558" t="str">
        <f t="shared" si="11"/>
        <v>建筑品质</v>
      </c>
      <c r="R35" s="1559" t="s">
        <v>11</v>
      </c>
      <c r="S35" s="1560">
        <f t="shared" si="12"/>
        <v>100</v>
      </c>
      <c r="T35" s="1559" t="s">
        <v>11</v>
      </c>
      <c r="U35" s="1560">
        <f t="shared" si="13"/>
        <v>100</v>
      </c>
      <c r="V35" s="1559" t="s">
        <v>11</v>
      </c>
      <c r="W35" s="1560">
        <f t="shared" si="14"/>
        <v>100</v>
      </c>
      <c r="X35" s="1553"/>
      <c r="Y35" s="3515"/>
      <c r="Z35" s="1561" t="str">
        <f t="shared" si="15"/>
        <v>建筑品质</v>
      </c>
      <c r="AA35" s="1562">
        <f t="shared" si="3"/>
        <v>1</v>
      </c>
      <c r="AB35" s="1562">
        <f t="shared" si="4"/>
        <v>1</v>
      </c>
      <c r="AC35" s="1562">
        <f t="shared" si="5"/>
        <v>1</v>
      </c>
    </row>
    <row r="36" spans="1:29" ht="15">
      <c r="A36" s="594"/>
      <c r="B36" s="527" t="s">
        <v>729</v>
      </c>
      <c r="C36" s="599" t="s">
        <v>3319</v>
      </c>
      <c r="D36" s="540">
        <v>100</v>
      </c>
      <c r="E36" s="599" t="s">
        <v>3319</v>
      </c>
      <c r="F36" s="575">
        <f>SUMIF(109:109,E36,110:110)-SUMIF(109:109,C36,110:110)+100</f>
        <v>100</v>
      </c>
      <c r="G36" s="599" t="s">
        <v>3319</v>
      </c>
      <c r="H36" s="540">
        <f>SUMIF(109:109,G36,110:110)-SUMIF(109:109,C36,110:110)+100</f>
        <v>100</v>
      </c>
      <c r="I36" s="599" t="s">
        <v>3319</v>
      </c>
      <c r="J36" s="540">
        <f>SUMIF(109:109,I36,110:110)-SUMIF(109:109,C36,110:110)+100</f>
        <v>100</v>
      </c>
      <c r="K36" s="864">
        <v>2</v>
      </c>
      <c r="L36" s="2125"/>
      <c r="M36" s="2117"/>
      <c r="N36" s="2117"/>
      <c r="O36" s="2124"/>
      <c r="P36" s="3515"/>
      <c r="Q36" s="1558" t="str">
        <f t="shared" si="11"/>
        <v>公共部分装修</v>
      </c>
      <c r="R36" s="1559" t="s">
        <v>11</v>
      </c>
      <c r="S36" s="1560">
        <f t="shared" si="12"/>
        <v>100</v>
      </c>
      <c r="T36" s="1559" t="s">
        <v>11</v>
      </c>
      <c r="U36" s="1560">
        <f t="shared" si="13"/>
        <v>100</v>
      </c>
      <c r="V36" s="1559" t="s">
        <v>11</v>
      </c>
      <c r="W36" s="1560">
        <f t="shared" si="14"/>
        <v>100</v>
      </c>
      <c r="X36" s="1553"/>
      <c r="Y36" s="3515"/>
      <c r="Z36" s="1561" t="str">
        <f t="shared" si="15"/>
        <v>公共部分装修</v>
      </c>
      <c r="AA36" s="1562">
        <f t="shared" si="3"/>
        <v>1</v>
      </c>
      <c r="AB36" s="1562">
        <f t="shared" si="4"/>
        <v>1</v>
      </c>
      <c r="AC36" s="1562">
        <f t="shared" si="5"/>
        <v>1</v>
      </c>
    </row>
    <row r="37" spans="1:29" s="1216" customFormat="1" ht="15">
      <c r="A37" s="600"/>
      <c r="B37" s="527" t="s">
        <v>730</v>
      </c>
      <c r="C37" s="883">
        <v>1</v>
      </c>
      <c r="D37" s="255">
        <v>100</v>
      </c>
      <c r="E37" s="884">
        <f>C37</f>
        <v>1</v>
      </c>
      <c r="F37" s="863">
        <f>LOOKUP(E37,112:112,113:113)-LOOKUP(C37,112:112,113:113)+100</f>
        <v>100</v>
      </c>
      <c r="G37" s="885">
        <f>E37</f>
        <v>1</v>
      </c>
      <c r="H37" s="255">
        <f>LOOKUP(G37,112:112,113:113)-LOOKUP(C37,112:112,113:113)+100</f>
        <v>100</v>
      </c>
      <c r="I37" s="884">
        <f>E37</f>
        <v>1</v>
      </c>
      <c r="J37" s="255">
        <f>LOOKUP(I37,112:112,113:113)-LOOKUP(C37,112:112,113:113)+100</f>
        <v>100</v>
      </c>
      <c r="K37" s="864">
        <v>2</v>
      </c>
      <c r="L37" s="2118"/>
      <c r="M37" s="2119"/>
      <c r="N37" s="2119"/>
      <c r="O37" s="2120"/>
      <c r="P37" s="3515"/>
      <c r="Q37" s="1147" t="str">
        <f t="shared" si="11"/>
        <v>成新度</v>
      </c>
      <c r="R37" s="1554" t="s">
        <v>11</v>
      </c>
      <c r="S37" s="1555">
        <f t="shared" si="12"/>
        <v>100</v>
      </c>
      <c r="T37" s="1554" t="s">
        <v>11</v>
      </c>
      <c r="U37" s="1555">
        <f t="shared" si="13"/>
        <v>100</v>
      </c>
      <c r="V37" s="1554" t="s">
        <v>11</v>
      </c>
      <c r="W37" s="1555">
        <f t="shared" si="14"/>
        <v>100</v>
      </c>
      <c r="X37" s="1556"/>
      <c r="Y37" s="3515"/>
      <c r="Z37" s="1146" t="str">
        <f t="shared" si="15"/>
        <v>成新度</v>
      </c>
      <c r="AA37" s="1557">
        <f t="shared" si="3"/>
        <v>1</v>
      </c>
      <c r="AB37" s="1557">
        <f t="shared" si="4"/>
        <v>1</v>
      </c>
      <c r="AC37" s="1557">
        <f t="shared" si="5"/>
        <v>1</v>
      </c>
    </row>
    <row r="38" spans="1:29" ht="15">
      <c r="A38" s="594"/>
      <c r="B38" s="527" t="s">
        <v>731</v>
      </c>
      <c r="C38" s="599" t="s">
        <v>3325</v>
      </c>
      <c r="D38" s="540">
        <v>100</v>
      </c>
      <c r="E38" s="599" t="s">
        <v>3325</v>
      </c>
      <c r="F38" s="575">
        <f>SUMIF(114:114,E38,115:115)-SUMIF(114:114,C38,115:115)+100</f>
        <v>100</v>
      </c>
      <c r="G38" s="599" t="s">
        <v>3325</v>
      </c>
      <c r="H38" s="540">
        <f>SUMIF(114:114,G38,115:115)-SUMIF(114:114,C38,115:115)+100</f>
        <v>100</v>
      </c>
      <c r="I38" s="599" t="s">
        <v>3325</v>
      </c>
      <c r="J38" s="540">
        <f>SUMIF(114:114,I38,115:115)-SUMIF(114:114,C38,115:115)+100</f>
        <v>100</v>
      </c>
      <c r="K38" s="864">
        <v>2</v>
      </c>
      <c r="L38" s="2125"/>
      <c r="M38" s="2117"/>
      <c r="N38" s="2117"/>
      <c r="O38" s="2124"/>
      <c r="P38" s="3515" t="s">
        <v>550</v>
      </c>
      <c r="Q38" s="1558" t="str">
        <f t="shared" si="11"/>
        <v>物业管理</v>
      </c>
      <c r="R38" s="1559" t="s">
        <v>11</v>
      </c>
      <c r="S38" s="1560">
        <f t="shared" si="12"/>
        <v>100</v>
      </c>
      <c r="T38" s="1559" t="s">
        <v>11</v>
      </c>
      <c r="U38" s="1560">
        <f t="shared" si="13"/>
        <v>100</v>
      </c>
      <c r="V38" s="1559" t="s">
        <v>11</v>
      </c>
      <c r="W38" s="1560">
        <f t="shared" si="14"/>
        <v>100</v>
      </c>
      <c r="X38" s="1553"/>
      <c r="Y38" s="3515" t="s">
        <v>550</v>
      </c>
      <c r="Z38" s="1561" t="str">
        <f t="shared" si="15"/>
        <v>物业管理</v>
      </c>
      <c r="AA38" s="1562">
        <f t="shared" si="3"/>
        <v>1</v>
      </c>
      <c r="AB38" s="1562">
        <f t="shared" si="4"/>
        <v>1</v>
      </c>
      <c r="AC38" s="1562">
        <f t="shared" si="5"/>
        <v>1</v>
      </c>
    </row>
    <row r="39" spans="1:29" ht="15">
      <c r="A39" s="594"/>
      <c r="B39" s="1878" t="s">
        <v>2561</v>
      </c>
      <c r="C39" s="599" t="s">
        <v>3148</v>
      </c>
      <c r="D39" s="540">
        <v>100</v>
      </c>
      <c r="E39" s="599" t="s">
        <v>3148</v>
      </c>
      <c r="F39" s="575">
        <f>SUMIF(116:116,E39,117:117)-SUMIF(116:116,C39,117:117)+100</f>
        <v>100</v>
      </c>
      <c r="G39" s="599" t="s">
        <v>3148</v>
      </c>
      <c r="H39" s="540">
        <f>SUMIF(116:116,G39,117:117)-SUMIF(116:116,C39,117:117)+100</f>
        <v>100</v>
      </c>
      <c r="I39" s="599" t="s">
        <v>3148</v>
      </c>
      <c r="J39" s="540">
        <f>SUMIF(116:116,I39,117:117)-SUMIF(116:116,C39,117:117)+100</f>
        <v>100</v>
      </c>
      <c r="K39" s="864">
        <v>2</v>
      </c>
      <c r="L39" s="2125"/>
      <c r="M39" s="2117"/>
      <c r="N39" s="2117"/>
      <c r="O39" s="2124"/>
      <c r="P39" s="3515"/>
      <c r="Q39" s="1558" t="str">
        <f t="shared" si="11"/>
        <v>市政基础设施</v>
      </c>
      <c r="R39" s="1559" t="s">
        <v>11</v>
      </c>
      <c r="S39" s="1560">
        <f t="shared" si="12"/>
        <v>100</v>
      </c>
      <c r="T39" s="1559" t="s">
        <v>11</v>
      </c>
      <c r="U39" s="1560">
        <f t="shared" si="13"/>
        <v>100</v>
      </c>
      <c r="V39" s="1559" t="s">
        <v>11</v>
      </c>
      <c r="W39" s="1560">
        <f t="shared" si="14"/>
        <v>100</v>
      </c>
      <c r="X39" s="1553"/>
      <c r="Y39" s="3515"/>
      <c r="Z39" s="1561" t="str">
        <f t="shared" si="15"/>
        <v>市政基础设施</v>
      </c>
      <c r="AA39" s="1562">
        <f t="shared" si="3"/>
        <v>1</v>
      </c>
      <c r="AB39" s="1562">
        <f t="shared" si="4"/>
        <v>1</v>
      </c>
      <c r="AC39" s="1562">
        <f t="shared" si="5"/>
        <v>1</v>
      </c>
    </row>
    <row r="40" spans="1:29" ht="15">
      <c r="A40" s="594"/>
      <c r="B40" s="527" t="s">
        <v>732</v>
      </c>
      <c r="C40" s="599" t="s">
        <v>3377</v>
      </c>
      <c r="D40" s="540">
        <v>100</v>
      </c>
      <c r="E40" s="599" t="s">
        <v>3377</v>
      </c>
      <c r="F40" s="575">
        <f>SUMIF(118:118,E40,119:119)-SUMIF(118:118,C40,119:119)+100</f>
        <v>100</v>
      </c>
      <c r="G40" s="599" t="s">
        <v>3377</v>
      </c>
      <c r="H40" s="540">
        <f>SUMIF(118:118,G40,119:119)-SUMIF(118:118,C40,119:119)+100</f>
        <v>100</v>
      </c>
      <c r="I40" s="599" t="s">
        <v>3377</v>
      </c>
      <c r="J40" s="540">
        <f>SUMIF(118:118,I40,119:119)-SUMIF(118:118,C40,119:119)+100</f>
        <v>100</v>
      </c>
      <c r="K40" s="864">
        <v>2</v>
      </c>
      <c r="L40" s="2125"/>
      <c r="M40" s="2117"/>
      <c r="N40" s="2117"/>
      <c r="O40" s="2124"/>
      <c r="P40" s="3515"/>
      <c r="Q40" s="1558" t="str">
        <f t="shared" si="11"/>
        <v>房型</v>
      </c>
      <c r="R40" s="1559" t="s">
        <v>11</v>
      </c>
      <c r="S40" s="1560">
        <f t="shared" si="12"/>
        <v>100</v>
      </c>
      <c r="T40" s="1559" t="s">
        <v>11</v>
      </c>
      <c r="U40" s="1560">
        <f t="shared" si="13"/>
        <v>100</v>
      </c>
      <c r="V40" s="1559" t="s">
        <v>11</v>
      </c>
      <c r="W40" s="1560">
        <f t="shared" si="14"/>
        <v>100</v>
      </c>
      <c r="X40" s="1553"/>
      <c r="Y40" s="3515"/>
      <c r="Z40" s="1561" t="str">
        <f t="shared" si="15"/>
        <v>房型</v>
      </c>
      <c r="AA40" s="1562">
        <f t="shared" si="3"/>
        <v>1</v>
      </c>
      <c r="AB40" s="1562">
        <f t="shared" si="4"/>
        <v>1</v>
      </c>
      <c r="AC40" s="1562">
        <f t="shared" si="5"/>
        <v>1</v>
      </c>
    </row>
    <row r="41" spans="1:29" s="1335"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3"/>
      <c r="M41" s="2154"/>
      <c r="N41" s="2154"/>
      <c r="O41" s="2126"/>
      <c r="P41" s="3515"/>
      <c r="Q41" s="1590" t="str">
        <f t="shared" si="11"/>
        <v>单套/主力户型建筑面积</v>
      </c>
      <c r="R41" s="1563" t="s">
        <v>11</v>
      </c>
      <c r="S41" s="1564">
        <f t="shared" si="12"/>
        <v>100</v>
      </c>
      <c r="T41" s="1563" t="s">
        <v>11</v>
      </c>
      <c r="U41" s="1564">
        <f t="shared" si="13"/>
        <v>100</v>
      </c>
      <c r="V41" s="1563" t="s">
        <v>11</v>
      </c>
      <c r="W41" s="1564">
        <f t="shared" si="14"/>
        <v>100</v>
      </c>
      <c r="X41" s="1565"/>
      <c r="Y41" s="3515"/>
      <c r="Z41" s="1566" t="str">
        <f t="shared" si="15"/>
        <v>单套/主力户型建筑面积</v>
      </c>
      <c r="AA41" s="1562">
        <f t="shared" si="3"/>
        <v>1</v>
      </c>
      <c r="AB41" s="1562">
        <f t="shared" si="4"/>
        <v>1</v>
      </c>
      <c r="AC41" s="1562">
        <f t="shared" si="5"/>
        <v>1</v>
      </c>
    </row>
    <row r="42" spans="1:29" ht="15">
      <c r="A42" s="594"/>
      <c r="B42" s="527" t="s">
        <v>734</v>
      </c>
      <c r="C42" s="599" t="s">
        <v>3323</v>
      </c>
      <c r="D42" s="540">
        <v>100</v>
      </c>
      <c r="E42" s="874" t="s">
        <v>3319</v>
      </c>
      <c r="F42" s="575">
        <f>SUMIF(122:122,E42,123:123)-SUMIF(122:122,C42,123:123)+100</f>
        <v>109</v>
      </c>
      <c r="G42" s="599" t="s">
        <v>3323</v>
      </c>
      <c r="H42" s="540">
        <f>SUMIF(122:122,G42,123:123)-SUMIF(122:122,C42,123:123)+100</f>
        <v>100</v>
      </c>
      <c r="I42" s="874" t="s">
        <v>3323</v>
      </c>
      <c r="J42" s="540">
        <f>SUMIF(122:122,I42,123:123)-SUMIF(122:122,C42,123:123)+100</f>
        <v>100</v>
      </c>
      <c r="K42" s="864">
        <v>3</v>
      </c>
      <c r="L42" s="2125"/>
      <c r="M42" s="2117"/>
      <c r="N42" s="2117"/>
      <c r="O42" s="2124"/>
      <c r="P42" s="3515"/>
      <c r="Q42" s="1558" t="str">
        <f t="shared" si="11"/>
        <v>内部装修</v>
      </c>
      <c r="R42" s="1559" t="s">
        <v>11</v>
      </c>
      <c r="S42" s="1560">
        <f t="shared" si="12"/>
        <v>109</v>
      </c>
      <c r="T42" s="1559" t="s">
        <v>11</v>
      </c>
      <c r="U42" s="1560">
        <f t="shared" si="13"/>
        <v>100</v>
      </c>
      <c r="V42" s="1559" t="s">
        <v>11</v>
      </c>
      <c r="W42" s="1560">
        <f t="shared" si="14"/>
        <v>100</v>
      </c>
      <c r="X42" s="1553"/>
      <c r="Y42" s="3515"/>
      <c r="Z42" s="1561" t="str">
        <f t="shared" si="15"/>
        <v>内部装修</v>
      </c>
      <c r="AA42" s="1562">
        <f t="shared" si="3"/>
        <v>0.91743119266055051</v>
      </c>
      <c r="AB42" s="1562">
        <f t="shared" si="4"/>
        <v>1</v>
      </c>
      <c r="AC42" s="1562">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v>2</v>
      </c>
      <c r="L43" s="2125"/>
      <c r="M43" s="2117"/>
      <c r="N43" s="2117"/>
      <c r="O43" s="2124"/>
      <c r="P43" s="3515"/>
      <c r="Q43" s="1558" t="str">
        <f t="shared" si="11"/>
        <v>内部装修维护情况</v>
      </c>
      <c r="R43" s="1559" t="s">
        <v>11</v>
      </c>
      <c r="S43" s="1560">
        <f t="shared" si="12"/>
        <v>100</v>
      </c>
      <c r="T43" s="1559" t="s">
        <v>11</v>
      </c>
      <c r="U43" s="1560">
        <f t="shared" si="13"/>
        <v>100</v>
      </c>
      <c r="V43" s="1559" t="s">
        <v>11</v>
      </c>
      <c r="W43" s="1560">
        <f t="shared" si="14"/>
        <v>100</v>
      </c>
      <c r="X43" s="1553"/>
      <c r="Y43" s="3515"/>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8"/>
      <c r="M44" s="2119"/>
      <c r="N44" s="2119"/>
      <c r="O44" s="2120"/>
      <c r="P44" s="3515"/>
      <c r="Q44" s="1147">
        <f t="shared" si="11"/>
        <v>111</v>
      </c>
      <c r="R44" s="1554" t="s">
        <v>11</v>
      </c>
      <c r="S44" s="1555">
        <f t="shared" si="12"/>
        <v>100</v>
      </c>
      <c r="T44" s="1554" t="s">
        <v>11</v>
      </c>
      <c r="U44" s="1555">
        <f t="shared" si="13"/>
        <v>100</v>
      </c>
      <c r="V44" s="1554" t="s">
        <v>11</v>
      </c>
      <c r="W44" s="1555">
        <f t="shared" si="14"/>
        <v>100</v>
      </c>
      <c r="X44" s="1556"/>
      <c r="Y44" s="3515"/>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5"/>
      <c r="M45" s="2117"/>
      <c r="N45" s="2117"/>
      <c r="O45" s="2124"/>
      <c r="P45" s="3515"/>
      <c r="Q45" s="1558">
        <f t="shared" si="11"/>
        <v>111</v>
      </c>
      <c r="R45" s="1559" t="s">
        <v>11</v>
      </c>
      <c r="S45" s="1560">
        <f t="shared" si="12"/>
        <v>100</v>
      </c>
      <c r="T45" s="1559" t="s">
        <v>11</v>
      </c>
      <c r="U45" s="1560">
        <f t="shared" si="13"/>
        <v>100</v>
      </c>
      <c r="V45" s="1559" t="s">
        <v>11</v>
      </c>
      <c r="W45" s="1560">
        <f t="shared" si="14"/>
        <v>100</v>
      </c>
      <c r="X45" s="1553"/>
      <c r="Y45" s="3515"/>
      <c r="Z45" s="1561">
        <f t="shared" si="15"/>
        <v>111</v>
      </c>
      <c r="AA45" s="1562">
        <f t="shared" si="3"/>
        <v>1</v>
      </c>
      <c r="AB45" s="1562">
        <f t="shared" si="4"/>
        <v>1</v>
      </c>
      <c r="AC45" s="1562">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5"/>
      <c r="M46" s="2117"/>
      <c r="N46" s="2117"/>
      <c r="O46" s="2124"/>
      <c r="P46" s="3594"/>
      <c r="Q46" s="1558">
        <f t="shared" si="11"/>
        <v>111</v>
      </c>
      <c r="R46" s="1559" t="s">
        <v>10</v>
      </c>
      <c r="S46" s="1560">
        <f t="shared" si="12"/>
        <v>100</v>
      </c>
      <c r="T46" s="1559" t="s">
        <v>10</v>
      </c>
      <c r="U46" s="1560">
        <f t="shared" si="13"/>
        <v>100</v>
      </c>
      <c r="V46" s="1559" t="s">
        <v>10</v>
      </c>
      <c r="W46" s="1560">
        <f t="shared" si="14"/>
        <v>100</v>
      </c>
      <c r="X46" s="1553"/>
      <c r="Y46" s="3594"/>
      <c r="Z46" s="1561">
        <f t="shared" si="15"/>
        <v>111</v>
      </c>
      <c r="AA46" s="1562">
        <f t="shared" si="3"/>
        <v>1</v>
      </c>
      <c r="AB46" s="1562">
        <f t="shared" si="4"/>
        <v>1</v>
      </c>
      <c r="AC46" s="1562">
        <f t="shared" si="5"/>
        <v>1</v>
      </c>
    </row>
    <row r="47" spans="1:29" ht="14.4">
      <c r="A47" s="607" t="s">
        <v>736</v>
      </c>
      <c r="B47" s="887"/>
      <c r="C47" s="2589" t="s">
        <v>9</v>
      </c>
      <c r="D47" s="2590"/>
      <c r="E47" s="2591">
        <v>5400</v>
      </c>
      <c r="F47" s="2592"/>
      <c r="G47" s="2593">
        <v>5000</v>
      </c>
      <c r="H47" s="2594"/>
      <c r="I47" s="2591">
        <v>5300</v>
      </c>
      <c r="J47" s="2594"/>
      <c r="K47" s="1591"/>
      <c r="L47" s="2127"/>
      <c r="M47" s="2128"/>
      <c r="N47" s="2117"/>
      <c r="O47" s="2128"/>
      <c r="P47" s="3510" t="str">
        <f>A47</f>
        <v>成交单价（元/平方米）</v>
      </c>
      <c r="Q47" s="3510"/>
      <c r="R47" s="3593">
        <f>E47</f>
        <v>5400</v>
      </c>
      <c r="S47" s="3593"/>
      <c r="T47" s="3593">
        <f>G47</f>
        <v>5000</v>
      </c>
      <c r="U47" s="3593"/>
      <c r="V47" s="3593">
        <f>I47</f>
        <v>5300</v>
      </c>
      <c r="W47" s="3593"/>
      <c r="X47" s="1545"/>
      <c r="Y47" s="1567"/>
      <c r="Z47" s="1545"/>
      <c r="AA47" s="1545"/>
      <c r="AB47" s="1545"/>
      <c r="AC47" s="1545"/>
    </row>
    <row r="48" spans="1:29" ht="15" thickBot="1">
      <c r="A48" s="615" t="s">
        <v>2756</v>
      </c>
      <c r="B48" s="888"/>
      <c r="C48" s="2595">
        <f>R49</f>
        <v>4901</v>
      </c>
      <c r="D48" s="2596"/>
      <c r="E48" s="2597">
        <f>R48</f>
        <v>4679</v>
      </c>
      <c r="F48" s="2597"/>
      <c r="G48" s="2595">
        <f>T48</f>
        <v>4819</v>
      </c>
      <c r="H48" s="2596"/>
      <c r="I48" s="2597">
        <f>V48</f>
        <v>5206</v>
      </c>
      <c r="J48" s="2596"/>
      <c r="K48" s="1592"/>
      <c r="L48" s="2127"/>
      <c r="M48" s="2128"/>
      <c r="N48" s="2128"/>
      <c r="O48" s="2128"/>
      <c r="P48" s="3510" t="str">
        <f>A48</f>
        <v>比较价格（元/平方米）</v>
      </c>
      <c r="Q48" s="3510"/>
      <c r="R48" s="3593">
        <f>IF(F1="售价",ROUND(PRODUCT(R47,AA7:AA46),0),ROUND(PRODUCT(R47,AA7:AA46),1))</f>
        <v>4679</v>
      </c>
      <c r="S48" s="3593"/>
      <c r="T48" s="3593">
        <f>IF(F1="售价",ROUND(PRODUCT(T47,AB7:AB46),0),ROUND(PRODUCT(T47,AB7:AB46),1))</f>
        <v>4819</v>
      </c>
      <c r="U48" s="3593"/>
      <c r="V48" s="3593">
        <f>IF(F1="售价",ROUND(PRODUCT(V47,AC7:AC46),0),ROUND(PRODUCT(V47,AC7:AC46),1))</f>
        <v>5206</v>
      </c>
      <c r="W48" s="3593"/>
      <c r="X48" s="1545"/>
      <c r="Y48" s="1545"/>
      <c r="Z48" s="1545"/>
      <c r="AA48" s="1545"/>
      <c r="AB48" s="1545"/>
      <c r="AC48" s="1545"/>
    </row>
    <row r="49" spans="1:29" ht="15" thickBot="1">
      <c r="A49" s="621" t="s">
        <v>2929</v>
      </c>
      <c r="B49" s="622"/>
      <c r="C49" s="2598">
        <f>R49</f>
        <v>4901</v>
      </c>
      <c r="D49" s="2598"/>
      <c r="E49" s="2598"/>
      <c r="F49" s="2598"/>
      <c r="G49" s="2598"/>
      <c r="H49" s="2598"/>
      <c r="I49" s="2598"/>
      <c r="J49" s="2598"/>
      <c r="K49" s="1593"/>
      <c r="L49" s="2127"/>
      <c r="M49" s="2128"/>
      <c r="N49" s="2128"/>
      <c r="O49" s="2128"/>
      <c r="P49" s="3531" t="str">
        <f>A49</f>
        <v>估价对象XX用房的比较价格（楼面单价，元/平方米）</v>
      </c>
      <c r="Q49" s="3532"/>
      <c r="R49" s="3592">
        <f>IF(F1="售价",ROUND(AVERAGE(R48:V48),0),ROUND(AVERAGE(R48:V48),1))</f>
        <v>4901</v>
      </c>
      <c r="S49" s="3592"/>
      <c r="T49" s="3592"/>
      <c r="U49" s="3592"/>
      <c r="V49" s="3592"/>
      <c r="W49" s="3592"/>
      <c r="X49" s="1545"/>
      <c r="Y49" s="1545"/>
      <c r="Z49" s="1545"/>
      <c r="AA49" s="1545"/>
      <c r="AB49" s="1545"/>
      <c r="AC49" s="1545"/>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4" t="s">
        <v>557</v>
      </c>
      <c r="D52" s="625"/>
      <c r="E52" s="626">
        <f>IF(E47&lt;E48,E48/E47-1,E47/E48-1)</f>
        <v>0.15409275486215002</v>
      </c>
      <c r="F52" s="627" t="str">
        <f>IF(OR(E52&gt;=0.3,E52&lt;=-0.3),"超过30%","")</f>
        <v/>
      </c>
      <c r="G52" s="626">
        <f>IF(G47&lt;G48,G48/G47-1,G47/G48-1)</f>
        <v>3.7559659680431734E-2</v>
      </c>
      <c r="H52" s="627" t="str">
        <f>IF(OR(G52&gt;=0.3,G52&lt;=-0.3),"超过30%","")</f>
        <v/>
      </c>
      <c r="I52" s="626">
        <f>IF(I47&lt;I48,I48/I47-1,I47/I48-1)</f>
        <v>1.8056089127929331E-2</v>
      </c>
      <c r="J52" s="627"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4" t="s">
        <v>558</v>
      </c>
      <c r="D53" s="628"/>
      <c r="E53" s="626">
        <f>IF(E48&lt;G48,G48/E48-1,E48/G48-1)</f>
        <v>2.9920923274203926E-2</v>
      </c>
      <c r="F53" s="627" t="str">
        <f>IF(OR(E53&gt;=0.2,E53&lt;=-0.2),"超过20%","")</f>
        <v/>
      </c>
      <c r="G53" s="626">
        <f>IF(G48&lt;I48,I48/G48-1,G48/I48-1)</f>
        <v>8.0307117659265348E-2</v>
      </c>
      <c r="H53" s="627" t="str">
        <f>IF(OR(G53&gt;=0.2,G53&lt;=-0.2),"超过20%","")</f>
        <v/>
      </c>
      <c r="I53" s="626">
        <f>IF(I48&lt;E48,E48/I48-1,I48/E48-1)</f>
        <v>0.11263090403932474</v>
      </c>
      <c r="J53" s="627"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41" customFormat="1" ht="13.5" customHeight="1">
      <c r="A54" s="2129"/>
      <c r="B54" s="2129"/>
      <c r="C54" s="624" t="s">
        <v>559</v>
      </c>
      <c r="D54" s="628"/>
      <c r="E54" s="626">
        <f>IF(E47&lt;G47,G47/E47-1,E47/G47-1)</f>
        <v>8.0000000000000071E-2</v>
      </c>
      <c r="F54" s="627" t="str">
        <f>IF(OR(E54&gt;=0.3,E54&lt;=-0.3),"超过30%","")</f>
        <v/>
      </c>
      <c r="G54" s="626">
        <f>IF(G47&lt;I47,I47/G47-1,G47/I47-1)</f>
        <v>6.0000000000000053E-2</v>
      </c>
      <c r="H54" s="627" t="str">
        <f>IF(OR(G54&gt;=0.3,G54&lt;=-0.3),"超过30%","")</f>
        <v/>
      </c>
      <c r="I54" s="626">
        <f>IF(I47&lt;E47,E47/I47-1,I47/E47-1)</f>
        <v>1.8867924528301883E-2</v>
      </c>
      <c r="J54" s="627"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41"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2.2" thickBot="1">
      <c r="A57" s="1570" t="s">
        <v>574</v>
      </c>
      <c r="B57" s="1545"/>
      <c r="C57" s="1569"/>
      <c r="D57" s="1569"/>
      <c r="E57" s="1569"/>
      <c r="F57" s="1571"/>
      <c r="G57" s="1571"/>
      <c r="H57" s="1569"/>
      <c r="I57" s="1569"/>
      <c r="J57" s="1569"/>
      <c r="K57" s="1572"/>
      <c r="L57" s="1568"/>
      <c r="M57" s="1569"/>
      <c r="N57" s="1569"/>
      <c r="O57" s="1569"/>
      <c r="P57" s="2140"/>
      <c r="Q57" s="2141"/>
      <c r="R57" s="2128"/>
      <c r="S57" s="2128"/>
      <c r="T57" s="2128"/>
      <c r="U57" s="2128"/>
      <c r="V57" s="2128"/>
      <c r="W57" s="2128"/>
      <c r="X57" s="2128"/>
      <c r="Y57" s="2128"/>
      <c r="Z57" s="2128"/>
      <c r="AA57" s="2128"/>
      <c r="AB57" s="2128"/>
      <c r="AC57" s="2128"/>
    </row>
    <row r="58" spans="1:29" s="1343" customFormat="1" ht="14.4">
      <c r="A58" s="645" t="s">
        <v>529</v>
      </c>
      <c r="B58" s="646"/>
      <c r="C58" s="2757" t="str">
        <f>YEAR(C7)&amp;"-"&amp;MONTH(C7)</f>
        <v>2020-2</v>
      </c>
      <c r="D58" s="2757">
        <f>EDATE(C58,-1)</f>
        <v>43831</v>
      </c>
      <c r="E58" s="2757">
        <f t="shared" ref="E58:O58" si="16">EDATE(D58,-1)</f>
        <v>43800</v>
      </c>
      <c r="F58" s="2757">
        <f t="shared" si="16"/>
        <v>43770</v>
      </c>
      <c r="G58" s="2757">
        <f t="shared" si="16"/>
        <v>43739</v>
      </c>
      <c r="H58" s="2757">
        <f t="shared" si="16"/>
        <v>43709</v>
      </c>
      <c r="I58" s="2757">
        <f t="shared" si="16"/>
        <v>43678</v>
      </c>
      <c r="J58" s="2757">
        <f t="shared" si="16"/>
        <v>43647</v>
      </c>
      <c r="K58" s="2757">
        <f t="shared" si="16"/>
        <v>43617</v>
      </c>
      <c r="L58" s="2757">
        <f t="shared" si="16"/>
        <v>43586</v>
      </c>
      <c r="M58" s="2757">
        <f t="shared" si="16"/>
        <v>43556</v>
      </c>
      <c r="N58" s="2757">
        <f t="shared" si="16"/>
        <v>43525</v>
      </c>
      <c r="O58" s="2757">
        <f t="shared" si="16"/>
        <v>43497</v>
      </c>
      <c r="P58" s="2143"/>
      <c r="Q58" s="2144"/>
      <c r="R58" s="2144"/>
      <c r="S58" s="2144"/>
      <c r="T58" s="2144"/>
      <c r="U58" s="2144"/>
      <c r="V58" s="2144"/>
      <c r="W58" s="2144"/>
      <c r="X58" s="2144"/>
      <c r="Y58" s="2144"/>
      <c r="Z58" s="2144"/>
      <c r="AA58" s="2144"/>
      <c r="AB58" s="2144"/>
      <c r="AC58" s="2144"/>
    </row>
    <row r="59" spans="1:29" s="1216" customFormat="1">
      <c r="A59" s="647"/>
      <c r="B59" s="648"/>
      <c r="C59" s="649">
        <v>100</v>
      </c>
      <c r="D59" s="650"/>
      <c r="E59" s="650"/>
      <c r="F59" s="650"/>
      <c r="G59" s="650"/>
      <c r="H59" s="650"/>
      <c r="I59" s="650"/>
      <c r="J59" s="650"/>
      <c r="K59" s="650"/>
      <c r="L59" s="650"/>
      <c r="M59" s="650"/>
      <c r="N59" s="650"/>
      <c r="O59" s="650"/>
      <c r="P59" s="2141"/>
      <c r="Q59" s="1976"/>
      <c r="R59" s="1976"/>
      <c r="S59" s="1976"/>
      <c r="T59" s="1976"/>
      <c r="U59" s="1976"/>
      <c r="V59" s="1976"/>
      <c r="W59" s="1976"/>
      <c r="X59" s="1976"/>
      <c r="Y59" s="1976"/>
      <c r="Z59" s="1976"/>
      <c r="AA59" s="1976"/>
      <c r="AB59" s="1976"/>
      <c r="AC59" s="1976"/>
    </row>
    <row r="60" spans="1:29" s="1216" customFormat="1" ht="15" thickBot="1">
      <c r="A60" s="653" t="s">
        <v>575</v>
      </c>
      <c r="B60" s="654"/>
      <c r="C60" s="655"/>
      <c r="D60" s="656"/>
      <c r="E60" s="656"/>
      <c r="F60" s="656"/>
      <c r="G60" s="656"/>
      <c r="H60" s="656"/>
      <c r="I60" s="656"/>
      <c r="J60" s="656"/>
      <c r="K60" s="656"/>
      <c r="L60" s="656"/>
      <c r="M60" s="657"/>
      <c r="N60" s="656"/>
      <c r="O60" s="658"/>
      <c r="P60" s="2141"/>
      <c r="Q60" s="2141"/>
      <c r="R60" s="1976"/>
      <c r="S60" s="1976"/>
      <c r="T60" s="1976"/>
      <c r="U60" s="1976"/>
      <c r="V60" s="1976"/>
      <c r="W60" s="1976"/>
      <c r="X60" s="1976"/>
      <c r="Y60" s="1976"/>
      <c r="Z60" s="1976"/>
      <c r="AA60" s="1976"/>
      <c r="AB60" s="1976"/>
      <c r="AC60" s="1976"/>
    </row>
    <row r="61" spans="1:29" s="1216" customFormat="1" ht="14.4">
      <c r="A61" s="659" t="s">
        <v>531</v>
      </c>
      <c r="B61" s="648"/>
      <c r="C61" s="660" t="s">
        <v>576</v>
      </c>
      <c r="D61" s="661"/>
      <c r="E61" s="661"/>
      <c r="F61" s="661"/>
      <c r="G61" s="661"/>
      <c r="H61" s="661"/>
      <c r="I61" s="661"/>
      <c r="J61" s="661"/>
      <c r="K61" s="661"/>
      <c r="L61" s="662"/>
      <c r="M61" s="663"/>
      <c r="N61" s="2145"/>
      <c r="O61" s="2145"/>
      <c r="P61" s="2146"/>
      <c r="Q61" s="2141"/>
      <c r="R61" s="1976"/>
      <c r="S61" s="1976"/>
      <c r="T61" s="1976"/>
      <c r="U61" s="1976"/>
      <c r="V61" s="1976"/>
      <c r="W61" s="1976"/>
      <c r="X61" s="1976"/>
      <c r="Y61" s="1976"/>
      <c r="Z61" s="1976"/>
      <c r="AA61" s="1976"/>
      <c r="AB61" s="1976"/>
      <c r="AC61" s="1976"/>
    </row>
    <row r="62" spans="1:29" s="1216" customFormat="1" ht="14.4" thickBot="1">
      <c r="A62" s="659"/>
      <c r="B62" s="648"/>
      <c r="C62" s="889">
        <v>100</v>
      </c>
      <c r="D62" s="650"/>
      <c r="E62" s="650"/>
      <c r="F62" s="650"/>
      <c r="G62" s="650"/>
      <c r="H62" s="650"/>
      <c r="I62" s="650"/>
      <c r="J62" s="650"/>
      <c r="K62" s="650"/>
      <c r="L62" s="650"/>
      <c r="M62" s="652"/>
      <c r="N62" s="2145"/>
      <c r="O62" s="2145"/>
      <c r="P62" s="2141"/>
      <c r="Q62" s="2141"/>
      <c r="R62" s="1976"/>
      <c r="S62" s="1976"/>
      <c r="T62" s="1976"/>
      <c r="U62" s="1976"/>
      <c r="V62" s="1976"/>
      <c r="W62" s="1976"/>
      <c r="X62" s="1976"/>
      <c r="Y62" s="1976"/>
      <c r="Z62" s="1976"/>
      <c r="AA62" s="1976"/>
      <c r="AB62" s="1976"/>
      <c r="AC62" s="1976"/>
    </row>
    <row r="63" spans="1:29" ht="14.4">
      <c r="A63" s="664" t="s">
        <v>577</v>
      </c>
      <c r="B63" s="665" t="s">
        <v>534</v>
      </c>
      <c r="C63" s="704" t="str">
        <f>C9</f>
        <v>住宅</v>
      </c>
      <c r="D63" s="598"/>
      <c r="E63" s="598"/>
      <c r="F63" s="598"/>
      <c r="G63" s="598"/>
      <c r="H63" s="598"/>
      <c r="I63" s="598"/>
      <c r="J63" s="598"/>
      <c r="K63" s="666"/>
      <c r="L63" s="667"/>
      <c r="M63" s="668"/>
      <c r="N63" s="2147"/>
      <c r="O63" s="2147"/>
      <c r="P63" s="2148"/>
      <c r="Q63" s="2141"/>
      <c r="R63" s="2128"/>
      <c r="S63" s="2128"/>
      <c r="T63" s="2128"/>
      <c r="U63" s="2128"/>
      <c r="V63" s="2128"/>
      <c r="W63" s="2128"/>
      <c r="X63" s="2128"/>
      <c r="Y63" s="2128"/>
      <c r="Z63" s="2128"/>
      <c r="AA63" s="2128"/>
      <c r="AB63" s="2128"/>
      <c r="AC63" s="2128"/>
    </row>
    <row r="64" spans="1:29" ht="14.4" thickBot="1">
      <c r="A64" s="669"/>
      <c r="B64" s="670"/>
      <c r="C64" s="671"/>
      <c r="D64" s="671"/>
      <c r="E64" s="1594"/>
      <c r="F64" s="1594"/>
      <c r="G64" s="1594"/>
      <c r="H64" s="1594"/>
      <c r="I64" s="1594"/>
      <c r="J64" s="1594"/>
      <c r="K64" s="1594"/>
      <c r="L64" s="1594"/>
      <c r="M64" s="1595"/>
      <c r="N64" s="2149"/>
      <c r="O64" s="2149"/>
      <c r="P64" s="2148"/>
      <c r="Q64" s="2141"/>
      <c r="R64" s="2128"/>
      <c r="S64" s="2128"/>
      <c r="T64" s="2128"/>
      <c r="U64" s="2128"/>
      <c r="V64" s="2128"/>
      <c r="W64" s="2128"/>
      <c r="X64" s="2128"/>
      <c r="Y64" s="2128"/>
      <c r="Z64" s="2128"/>
      <c r="AA64" s="2128"/>
      <c r="AB64" s="2128"/>
      <c r="AC64" s="2128"/>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4.4"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49"/>
      <c r="O67" s="2149"/>
      <c r="P67" s="2148"/>
      <c r="Q67" s="2141"/>
      <c r="R67" s="2128"/>
      <c r="S67" s="2128"/>
      <c r="T67" s="2128"/>
      <c r="U67" s="2128"/>
      <c r="V67" s="2128"/>
      <c r="W67" s="2128"/>
      <c r="X67" s="2128"/>
      <c r="Y67" s="2128"/>
      <c r="Z67" s="2128"/>
      <c r="AA67" s="2128"/>
      <c r="AB67" s="2128"/>
      <c r="AC67" s="2128"/>
    </row>
    <row r="68" spans="1:29">
      <c r="A68" s="669"/>
      <c r="B68" s="683"/>
      <c r="C68" s="541">
        <v>0</v>
      </c>
      <c r="D68" s="541">
        <v>1</v>
      </c>
      <c r="E68" s="541">
        <v>2</v>
      </c>
      <c r="F68" s="541">
        <v>3</v>
      </c>
      <c r="G68" s="541">
        <v>4</v>
      </c>
      <c r="H68" s="541">
        <v>5</v>
      </c>
      <c r="I68" s="541"/>
      <c r="J68" s="541"/>
      <c r="K68" s="684"/>
      <c r="L68" s="685"/>
      <c r="M68" s="686"/>
      <c r="N68" s="2147"/>
      <c r="O68" s="2147"/>
      <c r="P68" s="2148"/>
      <c r="Q68" s="2141"/>
      <c r="R68" s="2128"/>
      <c r="S68" s="2128"/>
      <c r="T68" s="2128"/>
      <c r="U68" s="2128"/>
      <c r="V68" s="2128"/>
      <c r="W68" s="2128"/>
      <c r="X68" s="2128"/>
      <c r="Y68" s="2128"/>
      <c r="Z68" s="2128"/>
      <c r="AA68" s="2128"/>
      <c r="AB68" s="2128"/>
      <c r="AC68" s="2128"/>
    </row>
    <row r="69" spans="1:29" ht="14.4"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49"/>
      <c r="O69" s="2149"/>
      <c r="P69" s="2148"/>
      <c r="Q69" s="2141"/>
      <c r="R69" s="2128"/>
      <c r="S69" s="2128"/>
      <c r="T69" s="2128"/>
      <c r="U69" s="2128"/>
      <c r="V69" s="2128"/>
      <c r="W69" s="2128"/>
      <c r="X69" s="2128"/>
      <c r="Y69" s="2128"/>
      <c r="Z69" s="2128"/>
      <c r="AA69" s="2128"/>
      <c r="AB69" s="2128"/>
      <c r="AC69" s="2128"/>
    </row>
    <row r="70" spans="1:29" s="1335" customFormat="1" ht="14.4" thickTop="1">
      <c r="A70" s="687"/>
      <c r="B70" s="673">
        <f>B12</f>
        <v>111</v>
      </c>
      <c r="C70" s="688"/>
      <c r="D70" s="688"/>
      <c r="E70" s="688"/>
      <c r="F70" s="688"/>
      <c r="G70" s="688"/>
      <c r="H70" s="689"/>
      <c r="I70" s="689"/>
      <c r="J70" s="689"/>
      <c r="K70" s="689"/>
      <c r="L70" s="690"/>
      <c r="M70" s="691"/>
      <c r="N70" s="2150"/>
      <c r="O70" s="2150"/>
      <c r="P70" s="2151"/>
      <c r="Q70" s="2152"/>
      <c r="R70" s="2153"/>
      <c r="S70" s="2153"/>
      <c r="T70" s="2153"/>
      <c r="U70" s="2153"/>
      <c r="V70" s="2153"/>
      <c r="W70" s="2153"/>
      <c r="X70" s="2153"/>
      <c r="Y70" s="2153"/>
      <c r="Z70" s="2153"/>
      <c r="AA70" s="2153"/>
      <c r="AB70" s="2153"/>
      <c r="AC70" s="2153"/>
    </row>
    <row r="71" spans="1:29" s="1335" customFormat="1" ht="14.4" thickBot="1">
      <c r="A71" s="687"/>
      <c r="B71" s="678"/>
      <c r="C71" s="692"/>
      <c r="D71" s="671"/>
      <c r="E71" s="671"/>
      <c r="F71" s="671"/>
      <c r="G71" s="671"/>
      <c r="H71" s="671"/>
      <c r="I71" s="671"/>
      <c r="J71" s="671"/>
      <c r="K71" s="671"/>
      <c r="L71" s="671"/>
      <c r="M71" s="672"/>
      <c r="N71" s="2149"/>
      <c r="O71" s="2149"/>
      <c r="P71" s="2151"/>
      <c r="Q71" s="2152"/>
      <c r="R71" s="2153"/>
      <c r="S71" s="2153"/>
      <c r="T71" s="2153"/>
      <c r="U71" s="2153"/>
      <c r="V71" s="2153"/>
      <c r="W71" s="2153"/>
      <c r="X71" s="2153"/>
      <c r="Y71" s="2153"/>
      <c r="Z71" s="2153"/>
      <c r="AA71" s="2153"/>
      <c r="AB71" s="2153"/>
      <c r="AC71" s="2153"/>
    </row>
    <row r="72" spans="1:29" s="1335" customFormat="1" ht="14.4" thickTop="1">
      <c r="A72" s="687"/>
      <c r="B72" s="673">
        <f>B13</f>
        <v>111</v>
      </c>
      <c r="C72" s="688"/>
      <c r="D72" s="688"/>
      <c r="E72" s="688"/>
      <c r="F72" s="688"/>
      <c r="G72" s="688"/>
      <c r="H72" s="689"/>
      <c r="I72" s="689"/>
      <c r="J72" s="689"/>
      <c r="K72" s="689"/>
      <c r="L72" s="690"/>
      <c r="M72" s="691"/>
      <c r="N72" s="2150"/>
      <c r="O72" s="2150"/>
      <c r="P72" s="2154"/>
      <c r="Q72" s="2155"/>
      <c r="R72" s="2153"/>
      <c r="S72" s="2153"/>
      <c r="T72" s="2153"/>
      <c r="U72" s="2153"/>
      <c r="V72" s="2153"/>
      <c r="W72" s="2153"/>
      <c r="X72" s="2153"/>
      <c r="Y72" s="2153"/>
      <c r="Z72" s="2153"/>
      <c r="AA72" s="2153"/>
      <c r="AB72" s="2153"/>
      <c r="AC72" s="2153"/>
    </row>
    <row r="73" spans="1:29" s="1335" customFormat="1" ht="14.4" thickBot="1">
      <c r="A73" s="687"/>
      <c r="B73" s="678"/>
      <c r="C73" s="692"/>
      <c r="D73" s="692"/>
      <c r="E73" s="692"/>
      <c r="F73" s="692"/>
      <c r="G73" s="692"/>
      <c r="H73" s="693"/>
      <c r="I73" s="693"/>
      <c r="J73" s="693"/>
      <c r="K73" s="693"/>
      <c r="L73" s="693"/>
      <c r="M73" s="694"/>
      <c r="N73" s="2150"/>
      <c r="O73" s="2150"/>
      <c r="P73" s="2151"/>
      <c r="Q73" s="2152"/>
      <c r="R73" s="2153"/>
      <c r="S73" s="2153"/>
      <c r="T73" s="2153"/>
      <c r="U73" s="2153"/>
      <c r="V73" s="2153"/>
      <c r="W73" s="2153"/>
      <c r="X73" s="2153"/>
      <c r="Y73" s="2153"/>
      <c r="Z73" s="2153"/>
      <c r="AA73" s="2153"/>
      <c r="AB73" s="2153"/>
      <c r="AC73" s="2153"/>
    </row>
    <row r="74" spans="1:29" s="1335" customFormat="1" ht="14.4" thickTop="1">
      <c r="A74" s="687"/>
      <c r="B74" s="681">
        <f>B14</f>
        <v>111</v>
      </c>
      <c r="C74" s="688"/>
      <c r="D74" s="688"/>
      <c r="E74" s="688"/>
      <c r="F74" s="688"/>
      <c r="G74" s="661"/>
      <c r="H74" s="695"/>
      <c r="I74" s="695"/>
      <c r="J74" s="695"/>
      <c r="K74" s="695"/>
      <c r="L74" s="696"/>
      <c r="M74" s="697"/>
      <c r="N74" s="2150"/>
      <c r="O74" s="2150"/>
      <c r="P74" s="2156"/>
      <c r="Q74" s="2152"/>
      <c r="R74" s="2153"/>
      <c r="S74" s="2153"/>
      <c r="T74" s="2153"/>
      <c r="U74" s="2153"/>
      <c r="V74" s="2153"/>
      <c r="W74" s="2153"/>
      <c r="X74" s="2153"/>
      <c r="Y74" s="2153"/>
      <c r="Z74" s="2153"/>
      <c r="AA74" s="2153"/>
      <c r="AB74" s="2153"/>
      <c r="AC74" s="2153"/>
    </row>
    <row r="75" spans="1:29" s="1335" customFormat="1" ht="14.4" thickBot="1">
      <c r="A75" s="698"/>
      <c r="B75" s="699"/>
      <c r="C75" s="700"/>
      <c r="D75" s="700"/>
      <c r="E75" s="700"/>
      <c r="F75" s="700"/>
      <c r="G75" s="700"/>
      <c r="H75" s="701"/>
      <c r="I75" s="701"/>
      <c r="J75" s="701"/>
      <c r="K75" s="701"/>
      <c r="L75" s="701"/>
      <c r="M75" s="702"/>
      <c r="N75" s="2150"/>
      <c r="O75" s="2150"/>
      <c r="P75" s="2151"/>
      <c r="Q75" s="2152"/>
      <c r="R75" s="2153"/>
      <c r="S75" s="2153"/>
      <c r="T75" s="2153"/>
      <c r="U75" s="2153"/>
      <c r="V75" s="2153"/>
      <c r="W75" s="2153"/>
      <c r="X75" s="2153"/>
      <c r="Y75" s="2153"/>
      <c r="Z75" s="2153"/>
      <c r="AA75" s="2153"/>
      <c r="AB75" s="2153"/>
      <c r="AC75" s="2153"/>
    </row>
    <row r="76" spans="1:29" ht="14.4">
      <c r="A76" s="664" t="s">
        <v>539</v>
      </c>
      <c r="B76" s="665" t="s">
        <v>578</v>
      </c>
      <c r="C76" s="703" t="s">
        <v>579</v>
      </c>
      <c r="D76" s="703" t="s">
        <v>580</v>
      </c>
      <c r="E76" s="703" t="s">
        <v>581</v>
      </c>
      <c r="F76" s="703" t="s">
        <v>582</v>
      </c>
      <c r="G76" s="703" t="s">
        <v>583</v>
      </c>
      <c r="H76" s="704"/>
      <c r="I76" s="704"/>
      <c r="J76" s="704"/>
      <c r="K76" s="705"/>
      <c r="L76" s="706"/>
      <c r="M76" s="707"/>
      <c r="N76" s="2147"/>
      <c r="O76" s="2147"/>
      <c r="P76" s="2157"/>
      <c r="Q76" s="2141"/>
      <c r="R76" s="2128"/>
      <c r="S76" s="2128"/>
      <c r="T76" s="2128"/>
      <c r="U76" s="2128"/>
      <c r="V76" s="2128"/>
      <c r="W76" s="2128"/>
      <c r="X76" s="2128"/>
      <c r="Y76" s="2128"/>
      <c r="Z76" s="2128"/>
      <c r="AA76" s="2128"/>
      <c r="AB76" s="2128"/>
      <c r="AC76" s="2128"/>
    </row>
    <row r="77" spans="1:29" ht="14.4" thickBot="1">
      <c r="A77" s="669"/>
      <c r="B77" s="678"/>
      <c r="C77" s="679">
        <v>100</v>
      </c>
      <c r="D77" s="679">
        <f>C77-$K15</f>
        <v>98</v>
      </c>
      <c r="E77" s="679">
        <f>D77-$K15</f>
        <v>96</v>
      </c>
      <c r="F77" s="679">
        <f>E77-$K15</f>
        <v>94</v>
      </c>
      <c r="G77" s="679">
        <f>F77-$K15</f>
        <v>92</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 thickTop="1">
      <c r="A78" s="669"/>
      <c r="B78" s="673" t="s">
        <v>586</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4.4" thickBot="1">
      <c r="A79" s="669"/>
      <c r="B79" s="678"/>
      <c r="C79" s="679">
        <v>100</v>
      </c>
      <c r="D79" s="679">
        <f>C79-$K17</f>
        <v>98</v>
      </c>
      <c r="E79" s="679">
        <f>D79-$K17</f>
        <v>96</v>
      </c>
      <c r="F79" s="679">
        <f>E79-$K17</f>
        <v>94</v>
      </c>
      <c r="G79" s="679">
        <f>F79-$K17</f>
        <v>92</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ht="15" thickTop="1">
      <c r="A80" s="669"/>
      <c r="B80" s="1879" t="s">
        <v>2554</v>
      </c>
      <c r="C80" s="708" t="s">
        <v>579</v>
      </c>
      <c r="D80" s="708" t="s">
        <v>580</v>
      </c>
      <c r="E80" s="708" t="s">
        <v>581</v>
      </c>
      <c r="F80" s="708" t="s">
        <v>582</v>
      </c>
      <c r="G80" s="708" t="s">
        <v>583</v>
      </c>
      <c r="H80" s="674"/>
      <c r="I80" s="674"/>
      <c r="J80" s="674"/>
      <c r="K80" s="675"/>
      <c r="L80" s="676"/>
      <c r="M80" s="677"/>
      <c r="N80" s="2147"/>
      <c r="O80" s="2147"/>
      <c r="P80" s="2148"/>
      <c r="Q80" s="2141"/>
      <c r="R80" s="2128"/>
      <c r="S80" s="2128"/>
      <c r="T80" s="2128"/>
      <c r="U80" s="2128"/>
      <c r="V80" s="2128"/>
      <c r="W80" s="2128"/>
      <c r="X80" s="2128"/>
      <c r="Y80" s="2128"/>
      <c r="Z80" s="2128"/>
      <c r="AA80" s="2128"/>
      <c r="AB80" s="2128"/>
      <c r="AC80" s="2128"/>
    </row>
    <row r="81" spans="1:29" ht="14.4" thickBot="1">
      <c r="A81" s="669"/>
      <c r="B81" s="678"/>
      <c r="C81" s="679">
        <v>100</v>
      </c>
      <c r="D81" s="679">
        <f>C81-$K19</f>
        <v>98</v>
      </c>
      <c r="E81" s="679">
        <f>D81-$K19</f>
        <v>96</v>
      </c>
      <c r="F81" s="679">
        <f>E81-$K19</f>
        <v>94</v>
      </c>
      <c r="G81" s="679">
        <f>F81-$K19</f>
        <v>92</v>
      </c>
      <c r="H81" s="679"/>
      <c r="I81" s="679"/>
      <c r="J81" s="679"/>
      <c r="K81" s="679"/>
      <c r="L81" s="679"/>
      <c r="M81" s="680"/>
      <c r="N81" s="2149"/>
      <c r="O81" s="2149"/>
      <c r="P81" s="2148"/>
      <c r="Q81" s="2141"/>
      <c r="R81" s="2128"/>
      <c r="S81" s="2128"/>
      <c r="T81" s="2128"/>
      <c r="U81" s="2128"/>
      <c r="V81" s="2128"/>
      <c r="W81" s="2128"/>
      <c r="X81" s="2128"/>
      <c r="Y81" s="2128"/>
      <c r="Z81" s="2128"/>
      <c r="AA81" s="2128"/>
      <c r="AB81" s="2128"/>
      <c r="AC81" s="2128"/>
    </row>
    <row r="82" spans="1:29" ht="15" thickTop="1">
      <c r="A82" s="669"/>
      <c r="B82" s="2559" t="s">
        <v>2555</v>
      </c>
      <c r="C82" s="2560" t="s">
        <v>2556</v>
      </c>
      <c r="D82" s="2560" t="s">
        <v>2557</v>
      </c>
      <c r="E82" s="2560" t="s">
        <v>2558</v>
      </c>
      <c r="F82" s="2560" t="s">
        <v>2559</v>
      </c>
      <c r="G82" s="2560" t="s">
        <v>2560</v>
      </c>
      <c r="H82" s="674"/>
      <c r="I82" s="674"/>
      <c r="J82" s="674"/>
      <c r="K82" s="674"/>
      <c r="L82" s="674"/>
      <c r="M82" s="2563"/>
      <c r="N82" s="2149"/>
      <c r="O82" s="2149"/>
      <c r="P82" s="2148"/>
      <c r="Q82" s="2141"/>
      <c r="R82" s="2128"/>
      <c r="S82" s="2128"/>
      <c r="T82" s="2128"/>
      <c r="U82" s="2128"/>
      <c r="V82" s="2128"/>
      <c r="W82" s="2128"/>
      <c r="X82" s="2128"/>
      <c r="Y82" s="2128"/>
      <c r="Z82" s="2128"/>
      <c r="AA82" s="2128"/>
      <c r="AB82" s="2128"/>
      <c r="AC82" s="2128"/>
    </row>
    <row r="83" spans="1:29" ht="14.4" thickBot="1">
      <c r="A83" s="669"/>
      <c r="B83" s="681"/>
      <c r="C83" s="679">
        <v>100</v>
      </c>
      <c r="D83" s="679">
        <f>C83-$K21</f>
        <v>98</v>
      </c>
      <c r="E83" s="679">
        <f>D83-$K21</f>
        <v>96</v>
      </c>
      <c r="F83" s="679">
        <f>E83-$K21</f>
        <v>94</v>
      </c>
      <c r="G83" s="679">
        <f>F83-$K21</f>
        <v>92</v>
      </c>
      <c r="H83" s="935"/>
      <c r="I83" s="935"/>
      <c r="J83" s="935"/>
      <c r="K83" s="935"/>
      <c r="L83" s="935"/>
      <c r="M83" s="559"/>
      <c r="N83" s="2149"/>
      <c r="O83" s="2149"/>
      <c r="P83" s="2148"/>
      <c r="Q83" s="2141"/>
      <c r="R83" s="2128"/>
      <c r="S83" s="2128"/>
      <c r="T83" s="2128"/>
      <c r="U83" s="2128"/>
      <c r="V83" s="2128"/>
      <c r="W83" s="2128"/>
      <c r="X83" s="2128"/>
      <c r="Y83" s="2128"/>
      <c r="Z83" s="2128"/>
      <c r="AA83" s="2128"/>
      <c r="AB83" s="2128"/>
      <c r="AC83" s="2128"/>
    </row>
    <row r="84" spans="1:29" ht="15" thickTop="1">
      <c r="A84" s="669"/>
      <c r="B84" s="673" t="s">
        <v>744</v>
      </c>
      <c r="C84" s="708" t="s">
        <v>579</v>
      </c>
      <c r="D84" s="708" t="s">
        <v>580</v>
      </c>
      <c r="E84" s="708" t="s">
        <v>581</v>
      </c>
      <c r="F84" s="708" t="s">
        <v>582</v>
      </c>
      <c r="G84" s="708" t="s">
        <v>583</v>
      </c>
      <c r="H84" s="674"/>
      <c r="I84" s="674"/>
      <c r="J84" s="674"/>
      <c r="K84" s="675"/>
      <c r="L84" s="676"/>
      <c r="M84" s="677"/>
      <c r="N84" s="2147"/>
      <c r="O84" s="2147"/>
      <c r="P84" s="2148"/>
      <c r="Q84" s="2141"/>
      <c r="R84" s="2128"/>
      <c r="S84" s="2128"/>
      <c r="T84" s="2128"/>
      <c r="U84" s="2128"/>
      <c r="V84" s="2128"/>
      <c r="W84" s="2128"/>
      <c r="X84" s="2128"/>
      <c r="Y84" s="2128"/>
      <c r="Z84" s="2128"/>
      <c r="AA84" s="2128"/>
      <c r="AB84" s="2128"/>
      <c r="AC84" s="2128"/>
    </row>
    <row r="85" spans="1:29" ht="14.4" thickBot="1">
      <c r="A85" s="669"/>
      <c r="B85" s="678"/>
      <c r="C85" s="679">
        <v>100</v>
      </c>
      <c r="D85" s="679">
        <f>C85-$K23</f>
        <v>98</v>
      </c>
      <c r="E85" s="679">
        <f>D85-$K23</f>
        <v>96</v>
      </c>
      <c r="F85" s="679">
        <f>E85-$K23</f>
        <v>94</v>
      </c>
      <c r="G85" s="679">
        <f>F85-$K23</f>
        <v>92</v>
      </c>
      <c r="H85" s="679"/>
      <c r="I85" s="679"/>
      <c r="J85" s="679"/>
      <c r="K85" s="679"/>
      <c r="L85" s="679"/>
      <c r="M85" s="680"/>
      <c r="N85" s="2149"/>
      <c r="O85" s="2149"/>
      <c r="P85" s="2148"/>
      <c r="Q85" s="2141"/>
      <c r="R85" s="2128"/>
      <c r="S85" s="2128"/>
      <c r="T85" s="2128"/>
      <c r="U85" s="2128"/>
      <c r="V85" s="2128"/>
      <c r="W85" s="2128"/>
      <c r="X85" s="2128"/>
      <c r="Y85" s="2128"/>
      <c r="Z85" s="2128"/>
      <c r="AA85" s="2128"/>
      <c r="AB85" s="2128"/>
      <c r="AC85" s="2128"/>
    </row>
    <row r="86" spans="1:29" s="1216" customFormat="1" ht="15" thickTop="1">
      <c r="A86" s="709"/>
      <c r="B86" s="1879" t="s">
        <v>2254</v>
      </c>
      <c r="C86" s="688"/>
      <c r="D86" s="688"/>
      <c r="E86" s="688"/>
      <c r="F86" s="688"/>
      <c r="G86" s="688"/>
      <c r="H86" s="688"/>
      <c r="I86" s="688"/>
      <c r="J86" s="688"/>
      <c r="K86" s="688"/>
      <c r="L86" s="890"/>
      <c r="M86" s="891"/>
      <c r="N86" s="2145"/>
      <c r="O86" s="2145"/>
      <c r="P86" s="2148"/>
      <c r="Q86" s="2141"/>
      <c r="R86" s="1976"/>
      <c r="S86" s="1976"/>
      <c r="T86" s="1976"/>
      <c r="U86" s="1976"/>
      <c r="V86" s="1976"/>
      <c r="W86" s="1976"/>
      <c r="X86" s="1976"/>
      <c r="Y86" s="1976"/>
      <c r="Z86" s="1976"/>
      <c r="AA86" s="1976"/>
      <c r="AB86" s="1976"/>
      <c r="AC86" s="1976"/>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49"/>
      <c r="O87" s="2149"/>
      <c r="P87" s="2148"/>
      <c r="Q87" s="2141"/>
      <c r="R87" s="1976"/>
      <c r="S87" s="1976"/>
      <c r="T87" s="1976"/>
      <c r="U87" s="1976"/>
      <c r="V87" s="1976"/>
      <c r="W87" s="1976"/>
      <c r="X87" s="1976"/>
      <c r="Y87" s="1976"/>
      <c r="Z87" s="1976"/>
      <c r="AA87" s="1976"/>
      <c r="AB87" s="1976"/>
      <c r="AC87" s="1976"/>
    </row>
    <row r="88" spans="1:29" s="1216" customFormat="1" ht="15" thickTop="1">
      <c r="A88" s="709"/>
      <c r="B88" s="673" t="s">
        <v>746</v>
      </c>
      <c r="C88" s="688"/>
      <c r="D88" s="688"/>
      <c r="E88" s="688"/>
      <c r="F88" s="892"/>
      <c r="G88" s="688"/>
      <c r="H88" s="688"/>
      <c r="I88" s="688"/>
      <c r="J88" s="688"/>
      <c r="K88" s="688"/>
      <c r="L88" s="688"/>
      <c r="M88" s="891"/>
      <c r="N88" s="2145"/>
      <c r="O88" s="2145"/>
      <c r="P88" s="2148"/>
      <c r="Q88" s="2141"/>
      <c r="R88" s="1976"/>
      <c r="S88" s="1976"/>
      <c r="T88" s="1976"/>
      <c r="U88" s="1976"/>
      <c r="V88" s="1976"/>
      <c r="W88" s="1976"/>
      <c r="X88" s="1976"/>
      <c r="Y88" s="1976"/>
      <c r="Z88" s="1976"/>
      <c r="AA88" s="1976"/>
      <c r="AB88" s="1976"/>
      <c r="AC88" s="1976"/>
    </row>
    <row r="89" spans="1:29" s="1216" customFormat="1" ht="14.4" thickBot="1">
      <c r="A89" s="709"/>
      <c r="B89" s="678"/>
      <c r="C89" s="712">
        <v>100</v>
      </c>
      <c r="D89" s="679">
        <f t="shared" ref="D89:M89" si="21">C89-$K26</f>
        <v>98</v>
      </c>
      <c r="E89" s="679">
        <f t="shared" si="21"/>
        <v>96</v>
      </c>
      <c r="F89" s="679">
        <f t="shared" si="21"/>
        <v>94</v>
      </c>
      <c r="G89" s="679">
        <f t="shared" si="21"/>
        <v>92</v>
      </c>
      <c r="H89" s="679">
        <f t="shared" si="21"/>
        <v>90</v>
      </c>
      <c r="I89" s="679">
        <f t="shared" si="21"/>
        <v>88</v>
      </c>
      <c r="J89" s="679">
        <f t="shared" si="21"/>
        <v>86</v>
      </c>
      <c r="K89" s="679">
        <f t="shared" si="21"/>
        <v>84</v>
      </c>
      <c r="L89" s="679">
        <f t="shared" si="21"/>
        <v>82</v>
      </c>
      <c r="M89" s="679">
        <f t="shared" si="21"/>
        <v>80</v>
      </c>
      <c r="N89" s="2149"/>
      <c r="O89" s="2149"/>
      <c r="P89" s="2148"/>
      <c r="Q89" s="2141"/>
      <c r="R89" s="1976"/>
      <c r="S89" s="1976"/>
      <c r="T89" s="1976"/>
      <c r="U89" s="1976"/>
      <c r="V89" s="1976"/>
      <c r="W89" s="1976"/>
      <c r="X89" s="1976"/>
      <c r="Y89" s="1976"/>
      <c r="Z89" s="1976"/>
      <c r="AA89" s="1976"/>
      <c r="AB89" s="1976"/>
      <c r="AC89" s="1976"/>
    </row>
    <row r="90" spans="1:29" s="1335" customFormat="1" ht="15" thickTop="1">
      <c r="A90" s="687"/>
      <c r="B90" s="673" t="str">
        <f>B27</f>
        <v>道路级别</v>
      </c>
      <c r="C90" s="3182" t="s">
        <v>3309</v>
      </c>
      <c r="D90" s="3182" t="s">
        <v>3310</v>
      </c>
      <c r="E90" s="3182" t="s">
        <v>3311</v>
      </c>
      <c r="F90" s="3182" t="s">
        <v>3312</v>
      </c>
      <c r="G90" s="3182" t="s">
        <v>3313</v>
      </c>
      <c r="H90" s="689"/>
      <c r="I90" s="689"/>
      <c r="J90" s="689"/>
      <c r="K90" s="689"/>
      <c r="L90" s="690"/>
      <c r="M90" s="691"/>
      <c r="N90" s="2150"/>
      <c r="O90" s="2150"/>
      <c r="P90" s="2151"/>
      <c r="Q90" s="2152"/>
      <c r="R90" s="2153"/>
      <c r="S90" s="2153"/>
      <c r="T90" s="2153"/>
      <c r="U90" s="2153"/>
      <c r="V90" s="2153"/>
      <c r="W90" s="2153"/>
      <c r="X90" s="2153"/>
      <c r="Y90" s="2153"/>
      <c r="Z90" s="2153"/>
      <c r="AA90" s="2153"/>
      <c r="AB90" s="2153"/>
      <c r="AC90" s="2153"/>
    </row>
    <row r="91" spans="1:29" s="1335" customFormat="1" ht="14.4" thickBot="1">
      <c r="A91" s="687"/>
      <c r="B91" s="678"/>
      <c r="C91" s="692">
        <v>100</v>
      </c>
      <c r="D91" s="692">
        <v>98</v>
      </c>
      <c r="E91" s="692">
        <v>96</v>
      </c>
      <c r="F91" s="692">
        <v>94</v>
      </c>
      <c r="G91" s="692">
        <v>92</v>
      </c>
      <c r="H91" s="693"/>
      <c r="I91" s="693"/>
      <c r="J91" s="693"/>
      <c r="K91" s="693"/>
      <c r="L91" s="693"/>
      <c r="M91" s="694"/>
      <c r="N91" s="2150"/>
      <c r="O91" s="2150"/>
      <c r="P91" s="2151"/>
      <c r="Q91" s="2152"/>
      <c r="R91" s="2153"/>
      <c r="S91" s="2153"/>
      <c r="T91" s="2153"/>
      <c r="U91" s="2153"/>
      <c r="V91" s="2153"/>
      <c r="W91" s="2153"/>
      <c r="X91" s="2153"/>
      <c r="Y91" s="2153"/>
      <c r="Z91" s="2153"/>
      <c r="AA91" s="2153"/>
      <c r="AB91" s="2153"/>
      <c r="AC91" s="2153"/>
    </row>
    <row r="92" spans="1:29" ht="14.4" thickTop="1">
      <c r="A92" s="669"/>
      <c r="B92" s="673">
        <f>B28</f>
        <v>111</v>
      </c>
      <c r="C92" s="688"/>
      <c r="D92" s="688"/>
      <c r="E92" s="688"/>
      <c r="F92" s="688"/>
      <c r="G92" s="718"/>
      <c r="H92" s="718"/>
      <c r="I92" s="718"/>
      <c r="J92" s="718"/>
      <c r="K92" s="719"/>
      <c r="L92" s="720"/>
      <c r="M92" s="721"/>
      <c r="N92" s="2147"/>
      <c r="O92" s="2147"/>
      <c r="P92" s="2148"/>
      <c r="Q92" s="2141"/>
      <c r="R92" s="2128"/>
      <c r="S92" s="2128"/>
      <c r="T92" s="2128"/>
      <c r="U92" s="2128"/>
      <c r="V92" s="2128"/>
      <c r="W92" s="2128"/>
      <c r="X92" s="2128"/>
      <c r="Y92" s="2128"/>
      <c r="Z92" s="2128"/>
      <c r="AA92" s="2128"/>
      <c r="AB92" s="2128"/>
      <c r="AC92" s="2128"/>
    </row>
    <row r="93" spans="1:29" ht="14.4" thickBot="1">
      <c r="A93" s="669"/>
      <c r="B93" s="678"/>
      <c r="C93" s="692"/>
      <c r="D93" s="671"/>
      <c r="E93" s="671"/>
      <c r="F93" s="671"/>
      <c r="G93" s="671"/>
      <c r="H93" s="671"/>
      <c r="I93" s="671"/>
      <c r="J93" s="671"/>
      <c r="K93" s="671"/>
      <c r="L93" s="671"/>
      <c r="M93" s="672"/>
      <c r="N93" s="2149"/>
      <c r="O93" s="2149"/>
      <c r="P93" s="2148"/>
      <c r="Q93" s="2141"/>
      <c r="R93" s="2128"/>
      <c r="S93" s="2128"/>
      <c r="T93" s="2128"/>
      <c r="U93" s="2128"/>
      <c r="V93" s="2128"/>
      <c r="W93" s="2128"/>
      <c r="X93" s="2128"/>
      <c r="Y93" s="2128"/>
      <c r="Z93" s="2128"/>
      <c r="AA93" s="2128"/>
      <c r="AB93" s="2128"/>
      <c r="AC93" s="2128"/>
    </row>
    <row r="94" spans="1:29" ht="14.4" thickTop="1">
      <c r="A94" s="669"/>
      <c r="B94" s="673">
        <f>B29</f>
        <v>111</v>
      </c>
      <c r="C94" s="688"/>
      <c r="D94" s="688"/>
      <c r="E94" s="688"/>
      <c r="F94" s="688"/>
      <c r="G94" s="718"/>
      <c r="H94" s="718"/>
      <c r="I94" s="718"/>
      <c r="J94" s="718"/>
      <c r="K94" s="719"/>
      <c r="L94" s="720"/>
      <c r="M94" s="721"/>
      <c r="N94" s="2147"/>
      <c r="O94" s="2147"/>
      <c r="P94" s="2148"/>
      <c r="Q94" s="2141"/>
      <c r="R94" s="2128"/>
      <c r="S94" s="2128"/>
      <c r="T94" s="2128"/>
      <c r="U94" s="2128"/>
      <c r="V94" s="2128"/>
      <c r="W94" s="2128"/>
      <c r="X94" s="2128"/>
      <c r="Y94" s="2128"/>
      <c r="Z94" s="2128"/>
      <c r="AA94" s="2128"/>
      <c r="AB94" s="2128"/>
      <c r="AC94" s="2128"/>
    </row>
    <row r="95" spans="1:29" ht="14.4" thickBot="1">
      <c r="A95" s="669"/>
      <c r="B95" s="678"/>
      <c r="C95" s="692"/>
      <c r="D95" s="692"/>
      <c r="E95" s="692"/>
      <c r="F95" s="692"/>
      <c r="G95" s="671"/>
      <c r="H95" s="671"/>
      <c r="I95" s="671"/>
      <c r="J95" s="671"/>
      <c r="K95" s="671"/>
      <c r="L95" s="671"/>
      <c r="M95" s="672"/>
      <c r="N95" s="2149"/>
      <c r="O95" s="2149"/>
      <c r="P95" s="2148"/>
      <c r="Q95" s="2141"/>
      <c r="R95" s="2128"/>
      <c r="S95" s="2128"/>
      <c r="T95" s="2128"/>
      <c r="U95" s="2128"/>
      <c r="V95" s="2128"/>
      <c r="W95" s="2128"/>
      <c r="X95" s="2128"/>
      <c r="Y95" s="2128"/>
      <c r="Z95" s="2128"/>
      <c r="AA95" s="2128"/>
      <c r="AB95" s="2128"/>
      <c r="AC95" s="2128"/>
    </row>
    <row r="96" spans="1:29" ht="14.4" thickTop="1">
      <c r="A96" s="669"/>
      <c r="B96" s="673">
        <f>B30</f>
        <v>111</v>
      </c>
      <c r="C96" s="688"/>
      <c r="D96" s="688"/>
      <c r="E96" s="688"/>
      <c r="F96" s="688"/>
      <c r="G96" s="718"/>
      <c r="H96" s="718"/>
      <c r="I96" s="718"/>
      <c r="J96" s="718"/>
      <c r="K96" s="719"/>
      <c r="L96" s="720"/>
      <c r="M96" s="721"/>
      <c r="N96" s="2147"/>
      <c r="O96" s="2147"/>
      <c r="P96" s="2148"/>
      <c r="Q96" s="2141"/>
      <c r="R96" s="2128"/>
      <c r="S96" s="2128"/>
      <c r="T96" s="2128"/>
      <c r="U96" s="2128"/>
      <c r="V96" s="2128"/>
      <c r="W96" s="2128"/>
      <c r="X96" s="2128"/>
      <c r="Y96" s="2128"/>
      <c r="Z96" s="2128"/>
      <c r="AA96" s="2128"/>
      <c r="AB96" s="2128"/>
      <c r="AC96" s="2128"/>
    </row>
    <row r="97" spans="1:29" ht="14.4" thickBot="1">
      <c r="A97" s="669"/>
      <c r="B97" s="678"/>
      <c r="C97" s="700"/>
      <c r="D97" s="700"/>
      <c r="E97" s="700"/>
      <c r="F97" s="700"/>
      <c r="G97" s="671"/>
      <c r="H97" s="671"/>
      <c r="I97" s="671"/>
      <c r="J97" s="671"/>
      <c r="K97" s="671"/>
      <c r="L97" s="671"/>
      <c r="M97" s="672"/>
      <c r="N97" s="2149"/>
      <c r="O97" s="2149"/>
      <c r="P97" s="2148"/>
      <c r="Q97" s="2141"/>
      <c r="R97" s="2128"/>
      <c r="S97" s="2128"/>
      <c r="T97" s="2128"/>
      <c r="U97" s="2128"/>
      <c r="V97" s="2128"/>
      <c r="W97" s="2128"/>
      <c r="X97" s="2128"/>
      <c r="Y97" s="2128"/>
      <c r="Z97" s="2128"/>
      <c r="AA97" s="2128"/>
      <c r="AB97" s="2128"/>
      <c r="AC97" s="2128"/>
    </row>
    <row r="98" spans="1:29" ht="14.4" thickTop="1">
      <c r="A98" s="669"/>
      <c r="B98" s="681">
        <f>B31</f>
        <v>111</v>
      </c>
      <c r="C98" s="722"/>
      <c r="D98" s="722"/>
      <c r="E98" s="722"/>
      <c r="F98" s="722"/>
      <c r="G98" s="722"/>
      <c r="H98" s="722"/>
      <c r="I98" s="722"/>
      <c r="J98" s="722"/>
      <c r="K98" s="723"/>
      <c r="L98" s="724"/>
      <c r="M98" s="725"/>
      <c r="N98" s="2147"/>
      <c r="O98" s="2147"/>
      <c r="P98" s="2148"/>
      <c r="Q98" s="2141"/>
      <c r="R98" s="2128"/>
      <c r="S98" s="2128"/>
      <c r="T98" s="2128"/>
      <c r="U98" s="2128"/>
      <c r="V98" s="2128"/>
      <c r="W98" s="2128"/>
      <c r="X98" s="2128"/>
      <c r="Y98" s="2128"/>
      <c r="Z98" s="2128"/>
      <c r="AA98" s="2128"/>
      <c r="AB98" s="2128"/>
      <c r="AC98" s="2128"/>
    </row>
    <row r="99" spans="1:29" ht="14.4" thickBot="1">
      <c r="A99" s="893"/>
      <c r="B99" s="699"/>
      <c r="C99" s="726"/>
      <c r="D99" s="726"/>
      <c r="E99" s="726"/>
      <c r="F99" s="726"/>
      <c r="G99" s="726"/>
      <c r="H99" s="726"/>
      <c r="I99" s="726"/>
      <c r="J99" s="726"/>
      <c r="K99" s="726"/>
      <c r="L99" s="726"/>
      <c r="M99" s="727"/>
      <c r="N99" s="2149"/>
      <c r="O99" s="2149"/>
      <c r="P99" s="2148"/>
      <c r="Q99" s="2141"/>
      <c r="R99" s="2128"/>
      <c r="S99" s="2128"/>
      <c r="T99" s="2128"/>
      <c r="U99" s="2128"/>
      <c r="V99" s="2128"/>
      <c r="W99" s="2128"/>
      <c r="X99" s="2128"/>
      <c r="Y99" s="2128"/>
      <c r="Z99" s="2128"/>
      <c r="AA99" s="2128"/>
      <c r="AB99" s="2128"/>
      <c r="AC99" s="2128"/>
    </row>
    <row r="100" spans="1:29" ht="14.4">
      <c r="A100" s="664" t="s">
        <v>551</v>
      </c>
      <c r="B100" s="665" t="s">
        <v>747</v>
      </c>
      <c r="C100" s="3181" t="s">
        <v>3335</v>
      </c>
      <c r="D100" s="3181" t="s">
        <v>3336</v>
      </c>
      <c r="E100" s="3181" t="s">
        <v>3338</v>
      </c>
      <c r="F100" s="3181" t="s">
        <v>3314</v>
      </c>
      <c r="G100" s="598"/>
      <c r="H100" s="598"/>
      <c r="I100" s="598"/>
      <c r="J100" s="598"/>
      <c r="K100" s="666"/>
      <c r="L100" s="667"/>
      <c r="M100" s="668"/>
      <c r="N100" s="2147"/>
      <c r="O100" s="2147"/>
      <c r="P100" s="2148"/>
      <c r="Q100" s="2141"/>
      <c r="R100" s="2128"/>
      <c r="S100" s="2128"/>
      <c r="T100" s="2128"/>
      <c r="U100" s="2128"/>
      <c r="V100" s="2128"/>
      <c r="W100" s="2128"/>
      <c r="X100" s="2128"/>
      <c r="Y100" s="2128"/>
      <c r="Z100" s="2128"/>
      <c r="AA100" s="2128"/>
      <c r="AB100" s="2128"/>
      <c r="AC100" s="2128"/>
    </row>
    <row r="101" spans="1:29" ht="14.4"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49"/>
      <c r="O101" s="2149"/>
      <c r="P101" s="2148"/>
      <c r="Q101" s="2141"/>
      <c r="R101" s="2128"/>
      <c r="S101" s="2128"/>
      <c r="T101" s="2128"/>
      <c r="U101" s="2128"/>
      <c r="V101" s="2128"/>
      <c r="W101" s="2128"/>
      <c r="X101" s="2128"/>
      <c r="Y101" s="2128"/>
      <c r="Z101" s="2128"/>
      <c r="AA101" s="2128"/>
      <c r="AB101" s="2128"/>
      <c r="AC101" s="2128"/>
    </row>
    <row r="102" spans="1:29" ht="28.2"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5" customFormat="1">
      <c r="A103" s="728"/>
      <c r="B103" s="729"/>
      <c r="C103" s="730">
        <v>0</v>
      </c>
      <c r="D103" s="730">
        <v>100000</v>
      </c>
      <c r="E103" s="730">
        <v>200000</v>
      </c>
      <c r="F103" s="730">
        <v>300000</v>
      </c>
      <c r="G103" s="730"/>
      <c r="H103" s="730"/>
      <c r="I103" s="730"/>
      <c r="J103" s="731"/>
      <c r="K103" s="731"/>
      <c r="L103" s="732"/>
      <c r="M103" s="733"/>
      <c r="N103" s="2150"/>
      <c r="O103" s="2150"/>
      <c r="P103" s="2151"/>
      <c r="Q103" s="2152"/>
      <c r="R103" s="2153"/>
      <c r="S103" s="2153"/>
      <c r="T103" s="2153"/>
      <c r="U103" s="2153"/>
      <c r="V103" s="2153"/>
      <c r="W103" s="2153"/>
      <c r="X103" s="2153"/>
      <c r="Y103" s="2153"/>
      <c r="Z103" s="2153"/>
      <c r="AA103" s="2153"/>
      <c r="AB103" s="2153"/>
      <c r="AC103" s="2153"/>
    </row>
    <row r="104" spans="1:29" s="1335" customFormat="1" ht="14.4" thickBot="1">
      <c r="A104" s="687"/>
      <c r="B104" s="678"/>
      <c r="C104" s="692">
        <v>100</v>
      </c>
      <c r="D104" s="671">
        <v>102</v>
      </c>
      <c r="E104" s="671">
        <v>104</v>
      </c>
      <c r="F104" s="671">
        <v>106</v>
      </c>
      <c r="G104" s="671"/>
      <c r="H104" s="671"/>
      <c r="I104" s="671"/>
      <c r="J104" s="671"/>
      <c r="K104" s="671"/>
      <c r="L104" s="671"/>
      <c r="M104" s="671"/>
      <c r="N104" s="2149"/>
      <c r="O104" s="2149"/>
      <c r="P104" s="2151"/>
      <c r="Q104" s="2152"/>
      <c r="R104" s="2153"/>
      <c r="S104" s="2153"/>
      <c r="T104" s="2153"/>
      <c r="U104" s="2153"/>
      <c r="V104" s="2153"/>
      <c r="W104" s="2153"/>
      <c r="X104" s="2153"/>
      <c r="Y104" s="2153"/>
      <c r="Z104" s="2153"/>
      <c r="AA104" s="2153"/>
      <c r="AB104" s="2153"/>
      <c r="AC104" s="2153"/>
    </row>
    <row r="105" spans="1:29" ht="15" thickTop="1">
      <c r="A105" s="735"/>
      <c r="B105" s="673" t="s">
        <v>749</v>
      </c>
      <c r="C105" s="3182" t="s">
        <v>3315</v>
      </c>
      <c r="D105" s="688"/>
      <c r="E105" s="718"/>
      <c r="F105" s="71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4.4"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5"/>
      <c r="B107" s="673" t="s">
        <v>750</v>
      </c>
      <c r="C107" s="3191" t="s">
        <v>3317</v>
      </c>
      <c r="D107" s="3191" t="s">
        <v>3331</v>
      </c>
      <c r="E107" s="3191" t="s">
        <v>3332</v>
      </c>
      <c r="F107" s="3191" t="s">
        <v>3333</v>
      </c>
      <c r="G107" s="3191" t="s">
        <v>3334</v>
      </c>
      <c r="H107" s="718"/>
      <c r="I107" s="718"/>
      <c r="J107" s="718"/>
      <c r="K107" s="719"/>
      <c r="L107" s="720"/>
      <c r="M107" s="721"/>
      <c r="N107" s="2147"/>
      <c r="O107" s="2147"/>
      <c r="P107" s="2148"/>
      <c r="Q107" s="2141"/>
      <c r="R107" s="2128"/>
      <c r="S107" s="2128"/>
      <c r="T107" s="2128"/>
      <c r="U107" s="2128"/>
      <c r="V107" s="2128"/>
      <c r="W107" s="2128"/>
      <c r="X107" s="2128"/>
      <c r="Y107" s="2128"/>
      <c r="Z107" s="2128"/>
      <c r="AA107" s="2128"/>
      <c r="AB107" s="2128"/>
      <c r="AC107" s="2128"/>
    </row>
    <row r="108" spans="1:29" ht="14.4"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5"/>
      <c r="B109" s="673" t="s">
        <v>751</v>
      </c>
      <c r="C109" s="3182" t="s">
        <v>3320</v>
      </c>
      <c r="D109" s="3182" t="s">
        <v>3321</v>
      </c>
      <c r="E109" s="3182" t="s">
        <v>3322</v>
      </c>
      <c r="F109" s="3191" t="s">
        <v>3324</v>
      </c>
      <c r="G109" s="718"/>
      <c r="H109" s="718"/>
      <c r="I109" s="718"/>
      <c r="J109" s="718"/>
      <c r="K109" s="719"/>
      <c r="L109" s="720"/>
      <c r="M109" s="721"/>
      <c r="N109" s="2147"/>
      <c r="O109" s="2147"/>
      <c r="P109" s="2148"/>
      <c r="Q109" s="2141"/>
      <c r="R109" s="2128"/>
      <c r="S109" s="2128"/>
      <c r="T109" s="2128"/>
      <c r="U109" s="2128"/>
      <c r="V109" s="2128"/>
      <c r="W109" s="2128"/>
      <c r="X109" s="2128"/>
      <c r="Y109" s="2128"/>
      <c r="Z109" s="2128"/>
      <c r="AA109" s="2128"/>
      <c r="AB109" s="2128"/>
      <c r="AC109" s="2128"/>
    </row>
    <row r="110" spans="1:29" ht="14.4"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49"/>
      <c r="O110" s="2149"/>
      <c r="P110" s="2148"/>
      <c r="Q110" s="2141"/>
      <c r="R110" s="2128"/>
      <c r="S110" s="2128"/>
      <c r="T110" s="2128"/>
      <c r="U110" s="2128"/>
      <c r="V110" s="2128"/>
      <c r="W110" s="2128"/>
      <c r="X110" s="2128"/>
      <c r="Y110" s="2128"/>
      <c r="Z110" s="2128"/>
      <c r="AA110" s="2128"/>
      <c r="AB110" s="2128"/>
      <c r="AC110" s="2128"/>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0"/>
      <c r="O111" s="2150"/>
      <c r="P111" s="2151"/>
      <c r="Q111" s="2152"/>
      <c r="R111" s="2153"/>
      <c r="S111" s="2153"/>
      <c r="T111" s="2153"/>
      <c r="U111" s="2153"/>
      <c r="V111" s="2153"/>
      <c r="W111" s="2153"/>
      <c r="X111" s="2153"/>
      <c r="Y111" s="2153"/>
      <c r="Z111" s="2153"/>
      <c r="AA111" s="2153"/>
      <c r="AB111" s="2153"/>
      <c r="AC111" s="2153"/>
    </row>
    <row r="112" spans="1:29" s="1335" customFormat="1">
      <c r="A112" s="728"/>
      <c r="B112" s="681"/>
      <c r="C112" s="894">
        <v>0.5</v>
      </c>
      <c r="D112" s="894">
        <v>0.6</v>
      </c>
      <c r="E112" s="894">
        <v>0.7</v>
      </c>
      <c r="F112" s="894">
        <v>0.8</v>
      </c>
      <c r="G112" s="894">
        <v>0.9</v>
      </c>
      <c r="H112" s="894">
        <v>1.0001</v>
      </c>
      <c r="I112" s="894"/>
      <c r="J112" s="895"/>
      <c r="K112" s="895"/>
      <c r="L112" s="896"/>
      <c r="M112" s="897"/>
      <c r="N112" s="2150"/>
      <c r="O112" s="2150"/>
      <c r="P112" s="2151"/>
      <c r="Q112" s="2152"/>
      <c r="R112" s="2153"/>
      <c r="S112" s="2153"/>
      <c r="T112" s="2153"/>
      <c r="U112" s="2153"/>
      <c r="V112" s="2153"/>
      <c r="W112" s="2153"/>
      <c r="X112" s="2153"/>
      <c r="Y112" s="2153"/>
      <c r="Z112" s="2153"/>
      <c r="AA112" s="2153"/>
      <c r="AB112" s="2153"/>
      <c r="AC112" s="2153"/>
    </row>
    <row r="113" spans="1:29" s="1335" customFormat="1" ht="14.4"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0"/>
      <c r="O113" s="2150"/>
      <c r="P113" s="2151"/>
      <c r="Q113" s="2152"/>
      <c r="R113" s="2153"/>
      <c r="S113" s="2153"/>
      <c r="T113" s="2153"/>
      <c r="U113" s="2153"/>
      <c r="V113" s="2153"/>
      <c r="W113" s="2153"/>
      <c r="X113" s="2153"/>
      <c r="Y113" s="2153"/>
      <c r="Z113" s="2153"/>
      <c r="AA113" s="2153"/>
      <c r="AB113" s="2153"/>
      <c r="AC113" s="2153"/>
    </row>
    <row r="114" spans="1:29" ht="15" thickTop="1">
      <c r="A114" s="735"/>
      <c r="B114" s="673" t="s">
        <v>753</v>
      </c>
      <c r="C114" s="3182" t="s">
        <v>3326</v>
      </c>
      <c r="D114" s="3182" t="s">
        <v>3318</v>
      </c>
      <c r="E114" s="718"/>
      <c r="F114" s="718"/>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4.4"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5"/>
      <c r="B116" s="1879" t="s">
        <v>2553</v>
      </c>
      <c r="C116" s="3182" t="s">
        <v>3327</v>
      </c>
      <c r="D116" s="688"/>
      <c r="E116" s="688"/>
      <c r="F116" s="688"/>
      <c r="G116" s="68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4.4" thickBot="1">
      <c r="A117" s="669"/>
      <c r="B117" s="678"/>
      <c r="C117" s="679">
        <v>100</v>
      </c>
      <c r="D117" s="679">
        <f>C117-$K39</f>
        <v>98</v>
      </c>
      <c r="E117" s="679">
        <f>D117-$K39</f>
        <v>96</v>
      </c>
      <c r="F117" s="679">
        <f>E117-$K39</f>
        <v>94</v>
      </c>
      <c r="G117" s="679">
        <f>F117-$K39</f>
        <v>92</v>
      </c>
      <c r="H117" s="679"/>
      <c r="I117" s="679"/>
      <c r="J117" s="679"/>
      <c r="K117" s="679"/>
      <c r="L117" s="679"/>
      <c r="M117" s="680"/>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t="s">
        <v>754</v>
      </c>
      <c r="C118" s="3191" t="s">
        <v>3339</v>
      </c>
      <c r="D118" s="718"/>
      <c r="E118" s="718"/>
      <c r="F118" s="718"/>
      <c r="G118" s="718"/>
      <c r="H118" s="718"/>
      <c r="I118" s="718"/>
      <c r="J118" s="718"/>
      <c r="K118" s="719"/>
      <c r="L118" s="720"/>
      <c r="M118" s="721"/>
      <c r="N118" s="2147"/>
      <c r="O118" s="2147"/>
      <c r="P118" s="2148"/>
      <c r="Q118" s="2141"/>
      <c r="R118" s="2128"/>
      <c r="S118" s="2128"/>
      <c r="T118" s="2128"/>
      <c r="U118" s="2128"/>
      <c r="V118" s="2128"/>
      <c r="W118" s="2128"/>
      <c r="X118" s="2128"/>
      <c r="Y118" s="2128"/>
      <c r="Z118" s="2128"/>
      <c r="AA118" s="2128"/>
      <c r="AB118" s="2128"/>
      <c r="AC118" s="2128"/>
    </row>
    <row r="119" spans="1:29" ht="14.4"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49"/>
      <c r="O119" s="2149"/>
      <c r="P119" s="2148"/>
      <c r="Q119" s="2141"/>
      <c r="R119" s="2128"/>
      <c r="S119" s="2128"/>
      <c r="T119" s="2128"/>
      <c r="U119" s="2128"/>
      <c r="V119" s="2128"/>
      <c r="W119" s="2128"/>
      <c r="X119" s="2128"/>
      <c r="Y119" s="2128"/>
      <c r="Z119" s="2128"/>
      <c r="AA119" s="2128"/>
      <c r="AB119" s="2128"/>
      <c r="AC119" s="2128"/>
    </row>
    <row r="120" spans="1:29" s="1335" customFormat="1" ht="29.4" thickTop="1">
      <c r="A120" s="728"/>
      <c r="B120" s="673" t="s">
        <v>733</v>
      </c>
      <c r="C120" s="688"/>
      <c r="D120" s="688"/>
      <c r="E120" s="688"/>
      <c r="F120" s="688"/>
      <c r="G120" s="688"/>
      <c r="H120" s="688"/>
      <c r="I120" s="688"/>
      <c r="J120" s="688"/>
      <c r="K120" s="688"/>
      <c r="L120" s="890"/>
      <c r="M120" s="891"/>
      <c r="N120" s="2150"/>
      <c r="O120" s="2150"/>
      <c r="P120" s="2151"/>
      <c r="Q120" s="2152"/>
      <c r="R120" s="2153"/>
      <c r="S120" s="2153"/>
      <c r="T120" s="2153"/>
      <c r="U120" s="2153"/>
      <c r="V120" s="2153"/>
      <c r="W120" s="2153"/>
      <c r="X120" s="2153"/>
      <c r="Y120" s="2153"/>
      <c r="Z120" s="2153"/>
      <c r="AA120" s="2153"/>
      <c r="AB120" s="2153"/>
      <c r="AC120" s="2153"/>
    </row>
    <row r="121" spans="1:29" s="1335" customFormat="1" ht="14.4" thickBot="1">
      <c r="A121" s="687"/>
      <c r="B121" s="670"/>
      <c r="C121" s="692"/>
      <c r="D121" s="671"/>
      <c r="E121" s="671"/>
      <c r="F121" s="671"/>
      <c r="G121" s="671"/>
      <c r="H121" s="671"/>
      <c r="I121" s="671"/>
      <c r="J121" s="671"/>
      <c r="K121" s="671"/>
      <c r="L121" s="671"/>
      <c r="M121" s="671"/>
      <c r="N121" s="2150"/>
      <c r="O121" s="2150"/>
      <c r="P121" s="2151"/>
      <c r="Q121" s="2152"/>
      <c r="R121" s="2153"/>
      <c r="S121" s="2153"/>
      <c r="T121" s="2153"/>
      <c r="U121" s="2153"/>
      <c r="V121" s="2153"/>
      <c r="W121" s="2153"/>
      <c r="X121" s="2153"/>
      <c r="Y121" s="2153"/>
      <c r="Z121" s="2153"/>
      <c r="AA121" s="2153"/>
      <c r="AB121" s="2153"/>
      <c r="AC121" s="2153"/>
    </row>
    <row r="122" spans="1:29" ht="15" thickTop="1">
      <c r="A122" s="735"/>
      <c r="B122" s="673" t="s">
        <v>755</v>
      </c>
      <c r="C122" s="3182" t="s">
        <v>3320</v>
      </c>
      <c r="D122" s="3182" t="s">
        <v>3321</v>
      </c>
      <c r="E122" s="3182" t="s">
        <v>3322</v>
      </c>
      <c r="F122" s="3191" t="s">
        <v>3324</v>
      </c>
      <c r="G122" s="718"/>
      <c r="H122" s="718"/>
      <c r="I122" s="718"/>
      <c r="J122" s="718"/>
      <c r="K122" s="719"/>
      <c r="L122" s="720"/>
      <c r="M122" s="721"/>
      <c r="N122" s="2147"/>
      <c r="O122" s="2147"/>
      <c r="P122" s="2148"/>
      <c r="Q122" s="2141"/>
      <c r="R122" s="2128"/>
      <c r="S122" s="2128"/>
      <c r="T122" s="2128"/>
      <c r="U122" s="2128"/>
      <c r="V122" s="2128"/>
      <c r="W122" s="2128"/>
      <c r="X122" s="2128"/>
      <c r="Y122" s="2128"/>
      <c r="Z122" s="2128"/>
      <c r="AA122" s="2128"/>
      <c r="AB122" s="2128"/>
      <c r="AC122" s="2128"/>
    </row>
    <row r="123" spans="1:29" ht="14.4"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49"/>
      <c r="O123" s="2149"/>
      <c r="P123" s="2148"/>
      <c r="Q123" s="2141"/>
      <c r="R123" s="2128"/>
      <c r="S123" s="2128"/>
      <c r="T123" s="2128"/>
      <c r="U123" s="2128"/>
      <c r="V123" s="2128"/>
      <c r="W123" s="2128"/>
      <c r="X123" s="2128"/>
      <c r="Y123" s="2128"/>
      <c r="Z123" s="2128"/>
      <c r="AA123" s="2128"/>
      <c r="AB123" s="2128"/>
      <c r="AC123" s="2128"/>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7"/>
      <c r="O124" s="2147"/>
      <c r="P124" s="2151"/>
      <c r="Q124" s="2141"/>
      <c r="R124" s="2128"/>
      <c r="S124" s="2128"/>
      <c r="T124" s="2128"/>
      <c r="U124" s="2128"/>
      <c r="V124" s="2128"/>
      <c r="W124" s="2128"/>
      <c r="X124" s="2128"/>
      <c r="Y124" s="2128"/>
      <c r="Z124" s="2128"/>
      <c r="AA124" s="2128"/>
      <c r="AB124" s="2128"/>
      <c r="AC124" s="2128"/>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49"/>
      <c r="O125" s="2149"/>
      <c r="P125" s="2148"/>
      <c r="Q125" s="2141"/>
      <c r="R125" s="2128"/>
      <c r="S125" s="2128"/>
      <c r="T125" s="2128"/>
      <c r="U125" s="2128"/>
      <c r="V125" s="2128"/>
      <c r="W125" s="2128"/>
      <c r="X125" s="2128"/>
      <c r="Y125" s="2128"/>
      <c r="Z125" s="2128"/>
      <c r="AA125" s="2128"/>
      <c r="AB125" s="2128"/>
      <c r="AC125" s="2128"/>
    </row>
    <row r="126" spans="1:29" s="1335" customFormat="1" ht="14.4" thickTop="1">
      <c r="A126" s="728"/>
      <c r="B126" s="673">
        <f>B44</f>
        <v>111</v>
      </c>
      <c r="C126" s="688"/>
      <c r="D126" s="688"/>
      <c r="E126" s="688"/>
      <c r="F126" s="688"/>
      <c r="G126" s="688"/>
      <c r="H126" s="689"/>
      <c r="I126" s="689"/>
      <c r="J126" s="689"/>
      <c r="K126" s="689"/>
      <c r="L126" s="690"/>
      <c r="M126" s="691"/>
      <c r="N126" s="2150"/>
      <c r="O126" s="2150"/>
      <c r="P126" s="2151"/>
      <c r="Q126" s="2152"/>
      <c r="R126" s="2153"/>
      <c r="S126" s="2153"/>
      <c r="T126" s="2153"/>
      <c r="U126" s="2153"/>
      <c r="V126" s="2153"/>
      <c r="W126" s="2153"/>
      <c r="X126" s="2153"/>
      <c r="Y126" s="2153"/>
      <c r="Z126" s="2153"/>
      <c r="AA126" s="2153"/>
      <c r="AB126" s="2153"/>
      <c r="AC126" s="2153"/>
    </row>
    <row r="127" spans="1:29" s="1335" customFormat="1" ht="14.4" thickBot="1">
      <c r="A127" s="687"/>
      <c r="B127" s="678"/>
      <c r="C127" s="692"/>
      <c r="D127" s="671"/>
      <c r="E127" s="671"/>
      <c r="F127" s="671"/>
      <c r="G127" s="692"/>
      <c r="H127" s="693"/>
      <c r="I127" s="693"/>
      <c r="J127" s="693"/>
      <c r="K127" s="693"/>
      <c r="L127" s="693"/>
      <c r="M127" s="694"/>
      <c r="N127" s="2150"/>
      <c r="O127" s="2150"/>
      <c r="P127" s="2151"/>
      <c r="Q127" s="2152"/>
      <c r="R127" s="2153"/>
      <c r="S127" s="2153"/>
      <c r="T127" s="2153"/>
      <c r="U127" s="2153"/>
      <c r="V127" s="2153"/>
      <c r="W127" s="2153"/>
      <c r="X127" s="2153"/>
      <c r="Y127" s="2153"/>
      <c r="Z127" s="2153"/>
      <c r="AA127" s="2153"/>
      <c r="AB127" s="2153"/>
      <c r="AC127" s="2153"/>
    </row>
    <row r="128" spans="1:29" ht="14.4" thickTop="1">
      <c r="A128" s="735"/>
      <c r="B128" s="673">
        <f>B45</f>
        <v>111</v>
      </c>
      <c r="C128" s="688"/>
      <c r="D128" s="688"/>
      <c r="E128" s="688"/>
      <c r="F128" s="688"/>
      <c r="G128" s="718"/>
      <c r="H128" s="718"/>
      <c r="I128" s="718"/>
      <c r="J128" s="718"/>
      <c r="K128" s="719"/>
      <c r="L128" s="720"/>
      <c r="M128" s="721"/>
      <c r="N128" s="2147"/>
      <c r="O128" s="2147"/>
      <c r="P128" s="2148"/>
      <c r="Q128" s="2141"/>
      <c r="R128" s="2128"/>
      <c r="S128" s="2128"/>
      <c r="T128" s="2128"/>
      <c r="U128" s="2128"/>
      <c r="V128" s="2128"/>
      <c r="W128" s="2128"/>
      <c r="X128" s="2128"/>
      <c r="Y128" s="2128"/>
      <c r="Z128" s="2128"/>
      <c r="AA128" s="2128"/>
      <c r="AB128" s="2128"/>
      <c r="AC128" s="2128"/>
    </row>
    <row r="129" spans="1:29" ht="14.4" thickBot="1">
      <c r="A129" s="669"/>
      <c r="B129" s="678"/>
      <c r="C129" s="692"/>
      <c r="D129" s="692"/>
      <c r="E129" s="692"/>
      <c r="F129" s="692"/>
      <c r="G129" s="671"/>
      <c r="H129" s="671"/>
      <c r="I129" s="671"/>
      <c r="J129" s="671"/>
      <c r="K129" s="671"/>
      <c r="L129" s="671"/>
      <c r="M129" s="672"/>
      <c r="N129" s="2149"/>
      <c r="O129" s="2149"/>
      <c r="P129" s="2148"/>
      <c r="Q129" s="2141"/>
      <c r="R129" s="2128"/>
      <c r="S129" s="2128"/>
      <c r="T129" s="2128"/>
      <c r="U129" s="2128"/>
      <c r="V129" s="2128"/>
      <c r="W129" s="2128"/>
      <c r="X129" s="2128"/>
      <c r="Y129" s="2128"/>
      <c r="Z129" s="2128"/>
      <c r="AA129" s="2128"/>
      <c r="AB129" s="2128"/>
      <c r="AC129" s="2128"/>
    </row>
    <row r="130" spans="1:29" ht="14.4" thickTop="1">
      <c r="A130" s="735"/>
      <c r="B130" s="681">
        <f>B46</f>
        <v>111</v>
      </c>
      <c r="C130" s="688"/>
      <c r="D130" s="688"/>
      <c r="E130" s="688"/>
      <c r="F130" s="688"/>
      <c r="G130" s="722"/>
      <c r="H130" s="722"/>
      <c r="I130" s="722"/>
      <c r="J130" s="722"/>
      <c r="K130" s="661"/>
      <c r="L130" s="662"/>
      <c r="M130" s="725"/>
      <c r="N130" s="2147"/>
      <c r="O130" s="2147"/>
      <c r="P130" s="2148"/>
      <c r="Q130" s="2141"/>
      <c r="R130" s="2128"/>
      <c r="S130" s="2128"/>
      <c r="T130" s="2128"/>
      <c r="U130" s="2128"/>
      <c r="V130" s="2128"/>
      <c r="W130" s="2128"/>
      <c r="X130" s="2128"/>
      <c r="Y130" s="2128"/>
      <c r="Z130" s="2128"/>
      <c r="AA130" s="2128"/>
      <c r="AB130" s="2128"/>
      <c r="AC130" s="2128"/>
    </row>
    <row r="131" spans="1:29" ht="14.4" thickBot="1">
      <c r="A131" s="893"/>
      <c r="B131" s="699"/>
      <c r="C131" s="700"/>
      <c r="D131" s="700"/>
      <c r="E131" s="700"/>
      <c r="F131" s="700"/>
      <c r="G131" s="726"/>
      <c r="H131" s="726"/>
      <c r="I131" s="726"/>
      <c r="J131" s="726"/>
      <c r="K131" s="726"/>
      <c r="L131" s="726"/>
      <c r="M131" s="727"/>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2255</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ht="15.6">
      <c r="A137" s="2162"/>
      <c r="B137" s="1901" t="s">
        <v>2256</v>
      </c>
      <c r="C137" s="1902"/>
      <c r="D137" s="1902"/>
      <c r="E137" s="1902"/>
      <c r="F137" s="1902"/>
      <c r="G137" s="1903"/>
      <c r="H137" s="1904"/>
      <c r="I137" s="1905" t="s">
        <v>2257</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ht="15.6">
      <c r="A138" s="2162"/>
      <c r="B138" s="1907"/>
      <c r="C138" s="1908" t="s">
        <v>2258</v>
      </c>
      <c r="D138" s="1908" t="s">
        <v>2259</v>
      </c>
      <c r="E138" s="1909" t="s">
        <v>2260</v>
      </c>
      <c r="F138" s="1910" t="s">
        <v>2261</v>
      </c>
      <c r="G138" s="1908" t="s">
        <v>2262</v>
      </c>
      <c r="H138" s="1911" t="s">
        <v>2263</v>
      </c>
      <c r="I138" s="1912"/>
      <c r="J138" s="1908" t="s">
        <v>2264</v>
      </c>
      <c r="K138" s="1911" t="s">
        <v>2265</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2266</v>
      </c>
      <c r="E139" s="1882">
        <v>100</v>
      </c>
      <c r="F139" s="1883">
        <v>102.5</v>
      </c>
      <c r="G139" s="1913" t="s">
        <v>2267</v>
      </c>
      <c r="H139" s="1884">
        <v>105</v>
      </c>
      <c r="I139" s="1914" t="s">
        <v>2268</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6">
      <c r="A140" s="2162"/>
      <c r="B140" s="1886">
        <v>5</v>
      </c>
      <c r="C140" s="1887">
        <v>100</v>
      </c>
      <c r="D140" s="1915"/>
      <c r="E140" s="1888"/>
      <c r="F140" s="1889">
        <v>102</v>
      </c>
      <c r="G140" s="1915"/>
      <c r="H140" s="1890"/>
      <c r="I140" s="1916" t="s">
        <v>2269</v>
      </c>
      <c r="J140" s="846">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6">
      <c r="A141" s="2162"/>
      <c r="B141" s="1886">
        <v>4</v>
      </c>
      <c r="C141" s="1887">
        <v>102</v>
      </c>
      <c r="D141" s="1915"/>
      <c r="E141" s="1888"/>
      <c r="F141" s="1889">
        <v>101.5</v>
      </c>
      <c r="G141" s="1915"/>
      <c r="H141" s="1890"/>
      <c r="I141" s="1916" t="s">
        <v>2270</v>
      </c>
      <c r="J141" s="846">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6">
      <c r="A142" s="2162"/>
      <c r="B142" s="1886">
        <v>3</v>
      </c>
      <c r="C142" s="1887">
        <v>103</v>
      </c>
      <c r="D142" s="1915"/>
      <c r="E142" s="1888"/>
      <c r="F142" s="1889">
        <v>101</v>
      </c>
      <c r="G142" s="1915"/>
      <c r="H142" s="1890"/>
      <c r="I142" s="1916" t="s">
        <v>2271</v>
      </c>
      <c r="J142" s="846">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6">
      <c r="A143" s="2162"/>
      <c r="B143" s="1886">
        <v>2</v>
      </c>
      <c r="C143" s="1887">
        <v>100</v>
      </c>
      <c r="D143" s="1915"/>
      <c r="E143" s="1888"/>
      <c r="F143" s="1889">
        <v>100.5</v>
      </c>
      <c r="G143" s="1915"/>
      <c r="H143" s="1890"/>
      <c r="I143" s="1916" t="s">
        <v>2272</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2273</v>
      </c>
      <c r="E144" s="1888">
        <v>102</v>
      </c>
      <c r="F144" s="1894">
        <v>100</v>
      </c>
      <c r="G144" s="1917" t="s">
        <v>2273</v>
      </c>
      <c r="H144" s="1890">
        <v>105</v>
      </c>
      <c r="I144" s="1916" t="s">
        <v>2272</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6.2" thickBot="1">
      <c r="A145" s="2162"/>
      <c r="B145" s="1918" t="s">
        <v>2274</v>
      </c>
      <c r="C145" s="1895">
        <f>ROUND(MAX(C139:C144)/MIN(C139:C144)-1,3)</f>
        <v>7.2999999999999995E-2</v>
      </c>
      <c r="D145" s="1919"/>
      <c r="E145" s="1919"/>
      <c r="F145" s="1920" t="s">
        <v>2275</v>
      </c>
      <c r="G145" s="1921"/>
      <c r="H145" s="1922"/>
      <c r="I145" s="1923" t="s">
        <v>2272</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ht="14.4">
      <c r="A147" s="2162"/>
      <c r="B147" s="1942" t="s">
        <v>2284</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ht="14.4">
      <c r="A148" s="2162"/>
      <c r="B148" s="1942" t="s">
        <v>2285</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xr:uid="{00000000-0002-0000-1F00-000000000000}">
      <formula1>环境</formula1>
    </dataValidation>
    <dataValidation type="list" allowBlank="1" showInputMessage="1" showErrorMessage="1" sqref="E16 G16 I16 C16" xr:uid="{00000000-0002-0000-1F00-000001000000}">
      <formula1>居住社区成熟度</formula1>
    </dataValidation>
    <dataValidation type="list" allowBlank="1" showInputMessage="1" showErrorMessage="1" sqref="E18 G18 I18 C18" xr:uid="{00000000-0002-0000-1F00-000002000000}">
      <formula1>交通便捷度</formula1>
    </dataValidation>
    <dataValidation type="list" allowBlank="1" showInputMessage="1" showErrorMessage="1" sqref="C20 G20 I20 E20" xr:uid="{00000000-0002-0000-1F00-000003000000}">
      <formula1>公共配套设施</formula1>
    </dataValidation>
    <dataValidation type="list" allowBlank="1" showInputMessage="1" showErrorMessage="1" sqref="E25 G25 I25 C25" xr:uid="{00000000-0002-0000-1F00-000004000000}">
      <formula1>住宅楼层</formula1>
    </dataValidation>
    <dataValidation type="list" allowBlank="1" showInputMessage="1" showErrorMessage="1" sqref="E26 G26 I26 C26" xr:uid="{00000000-0002-0000-1F00-000005000000}">
      <formula1>住宅朝向</formula1>
    </dataValidation>
    <dataValidation type="list" allowBlank="1" showInputMessage="1" showErrorMessage="1" sqref="E32 G32 I32 C32" xr:uid="{00000000-0002-0000-1F00-000006000000}">
      <formula1>住宅建筑类型</formula1>
    </dataValidation>
    <dataValidation type="list" allowBlank="1" showInputMessage="1" showErrorMessage="1" sqref="E34 G34 I34 C34" xr:uid="{00000000-0002-0000-1F00-000007000000}">
      <formula1>住宅建筑结构</formula1>
    </dataValidation>
    <dataValidation type="list" allowBlank="1" showInputMessage="1" showErrorMessage="1" sqref="E35 G35 I35 C35" xr:uid="{00000000-0002-0000-1F00-000008000000}">
      <formula1>住宅建筑品质</formula1>
    </dataValidation>
    <dataValidation type="list" allowBlank="1" showInputMessage="1" showErrorMessage="1" sqref="E36 G36 I36 C36" xr:uid="{00000000-0002-0000-1F00-000009000000}">
      <formula1>住宅公共部分装修</formula1>
    </dataValidation>
    <dataValidation type="list" allowBlank="1" showInputMessage="1" showErrorMessage="1" sqref="E38 G38 I38 C38" xr:uid="{00000000-0002-0000-1F00-00000A000000}">
      <formula1>住宅物业管理</formula1>
    </dataValidation>
    <dataValidation type="list" allowBlank="1" showInputMessage="1" showErrorMessage="1" sqref="E39 G39 I39 C39" xr:uid="{00000000-0002-0000-1F00-00000B000000}">
      <formula1>住宅基础设施水平</formula1>
    </dataValidation>
    <dataValidation type="list" allowBlank="1" showInputMessage="1" showErrorMessage="1" sqref="E40 G40 I40 C40" xr:uid="{00000000-0002-0000-1F00-00000C000000}">
      <formula1>住宅房型</formula1>
    </dataValidation>
    <dataValidation type="list" allowBlank="1" showInputMessage="1" showErrorMessage="1" sqref="E42 G42 I42 C42" xr:uid="{00000000-0002-0000-1F00-00000D000000}">
      <formula1>住宅内部装修</formula1>
    </dataValidation>
    <dataValidation type="list" allowBlank="1" showInputMessage="1" showErrorMessage="1" sqref="E43 G43 I43 C43" xr:uid="{00000000-0002-0000-1F00-00000E000000}">
      <formula1>内部装修维护情况</formula1>
    </dataValidation>
    <dataValidation type="list" allowBlank="1" showInputMessage="1" showErrorMessage="1" sqref="E8 G8 I8 C8" xr:uid="{00000000-0002-0000-1F00-00000F000000}">
      <formula1>住宅交易情况</formula1>
    </dataValidation>
    <dataValidation type="list" allowBlank="1" showInputMessage="1" showErrorMessage="1" sqref="D1" xr:uid="{00000000-0002-0000-1F00-000010000000}">
      <formula1>项目类型</formula1>
    </dataValidation>
    <dataValidation type="list" allowBlank="1" showInputMessage="1" showErrorMessage="1" sqref="C10 E10 G10 I10" xr:uid="{00000000-0002-0000-1F00-000011000000}">
      <formula1>土地年限区间</formula1>
    </dataValidation>
    <dataValidation type="list" allowBlank="1" showInputMessage="1" showErrorMessage="1" sqref="E9 G9 I9" xr:uid="{00000000-0002-0000-1F00-000012000000}">
      <formula1>住宅用途</formula1>
    </dataValidation>
    <dataValidation type="list" allowBlank="1" showInputMessage="1" showErrorMessage="1" sqref="C22 E22 G22 I22" xr:uid="{00000000-0002-0000-1F00-000013000000}">
      <formula1>基础设施水平</formula1>
    </dataValidation>
    <dataValidation type="list" allowBlank="1" showInputMessage="1" showErrorMessage="1" sqref="F1" xr:uid="{00000000-0002-0000-1F00-000014000000}">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rgb="FF92D050"/>
    <pageSetUpPr fitToPage="1"/>
  </sheetPr>
  <dimension ref="A1:AC794"/>
  <sheetViews>
    <sheetView zoomScale="80" zoomScaleNormal="80" workbookViewId="0">
      <selection activeCell="M23" sqref="M23"/>
    </sheetView>
  </sheetViews>
  <sheetFormatPr defaultColWidth="9" defaultRowHeight="13.8"/>
  <cols>
    <col min="1" max="1" width="10.44140625" style="1333" customWidth="1"/>
    <col min="2" max="2" width="15.77734375" style="1333" customWidth="1"/>
    <col min="3" max="3" width="15.44140625" style="1333" customWidth="1"/>
    <col min="4" max="4" width="12.21875" style="1333" customWidth="1"/>
    <col min="5" max="5" width="15" style="1333" customWidth="1"/>
    <col min="6" max="6" width="12.21875" style="1333" customWidth="1"/>
    <col min="7" max="7" width="15.44140625" style="1333" customWidth="1"/>
    <col min="8" max="8" width="12.21875" style="1333" customWidth="1"/>
    <col min="9" max="9" width="15.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757</v>
      </c>
      <c r="C1" s="504" t="s">
        <v>720</v>
      </c>
      <c r="D1" s="2332" t="s">
        <v>3132</v>
      </c>
      <c r="E1" s="506"/>
      <c r="F1" s="2760" t="s">
        <v>3303</v>
      </c>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850">
        <f>ROUND(B3*D3/10000,0)</f>
        <v>40412</v>
      </c>
      <c r="C2" s="2110"/>
      <c r="D2" s="2110"/>
      <c r="E2" s="2044"/>
      <c r="F2" s="2112"/>
      <c r="G2" s="2111"/>
      <c r="H2" s="2111"/>
      <c r="I2" s="2111"/>
      <c r="J2" s="2111"/>
      <c r="K2" s="2111"/>
      <c r="L2" s="2114"/>
      <c r="M2" s="2115"/>
      <c r="N2" s="2115"/>
      <c r="O2" s="2115"/>
      <c r="P2" s="1550"/>
      <c r="Q2" s="1550"/>
      <c r="R2" s="1550"/>
      <c r="S2" s="1550"/>
      <c r="T2" s="1550"/>
      <c r="U2" s="1550"/>
      <c r="V2" s="1550"/>
      <c r="W2" s="1550"/>
      <c r="X2" s="1550"/>
      <c r="Y2" s="1550"/>
      <c r="Z2" s="1550"/>
      <c r="AA2" s="1550"/>
      <c r="AB2" s="1550"/>
      <c r="AC2" s="1551"/>
    </row>
    <row r="3" spans="1:29" s="1332" customFormat="1" ht="28.5" customHeight="1" thickBot="1">
      <c r="A3" s="509" t="s">
        <v>519</v>
      </c>
      <c r="B3" s="510">
        <f>C49</f>
        <v>12567</v>
      </c>
      <c r="C3" s="852" t="s">
        <v>722</v>
      </c>
      <c r="D3" s="851">
        <f>SUMIF('数据-汇总表'!$C19:$C33,D1,'数据-汇总表'!$E19:$E33)</f>
        <v>32157.53</v>
      </c>
      <c r="E3" s="2044"/>
      <c r="F3" s="2112"/>
      <c r="G3" s="2111"/>
      <c r="H3" s="2111"/>
      <c r="I3" s="2111"/>
      <c r="J3" s="2111"/>
      <c r="K3" s="2113"/>
      <c r="L3" s="2114"/>
      <c r="M3" s="2115"/>
      <c r="N3" s="2115"/>
      <c r="O3" s="2115"/>
      <c r="P3" s="1550"/>
      <c r="Q3" s="1550"/>
      <c r="R3" s="1550"/>
      <c r="S3" s="1550"/>
      <c r="T3" s="1550"/>
      <c r="U3" s="1550"/>
      <c r="V3" s="1550"/>
      <c r="W3" s="1550"/>
      <c r="X3" s="1550"/>
      <c r="Y3" s="1550"/>
      <c r="Z3" s="1550"/>
      <c r="AA3" s="1550"/>
      <c r="AB3" s="1550"/>
      <c r="AC3" s="428"/>
    </row>
    <row r="4" spans="1:29" ht="14.4">
      <c r="A4" s="512" t="s">
        <v>521</v>
      </c>
      <c r="B4" s="513"/>
      <c r="C4" s="3516" t="s">
        <v>522</v>
      </c>
      <c r="D4" s="3517"/>
      <c r="E4" s="3540" t="s">
        <v>523</v>
      </c>
      <c r="F4" s="3541"/>
      <c r="G4" s="3516" t="s">
        <v>524</v>
      </c>
      <c r="H4" s="3517"/>
      <c r="I4" s="3516" t="s">
        <v>525</v>
      </c>
      <c r="J4" s="3517"/>
      <c r="K4" s="514" t="s">
        <v>526</v>
      </c>
      <c r="L4" s="2116"/>
      <c r="M4" s="2117"/>
      <c r="N4" s="2117"/>
      <c r="O4" s="2117"/>
      <c r="P4" s="3518" t="s">
        <v>527</v>
      </c>
      <c r="Q4" s="3519"/>
      <c r="R4" s="3504" t="s">
        <v>523</v>
      </c>
      <c r="S4" s="3505"/>
      <c r="T4" s="3504" t="s">
        <v>524</v>
      </c>
      <c r="U4" s="3505"/>
      <c r="V4" s="3524" t="s">
        <v>525</v>
      </c>
      <c r="W4" s="3524"/>
      <c r="X4" s="1553"/>
      <c r="Y4" s="3504" t="s">
        <v>527</v>
      </c>
      <c r="Z4" s="3505"/>
      <c r="AA4" s="3499" t="s">
        <v>523</v>
      </c>
      <c r="AB4" s="3524" t="s">
        <v>524</v>
      </c>
      <c r="AC4" s="3499" t="s">
        <v>525</v>
      </c>
    </row>
    <row r="5" spans="1:29">
      <c r="A5" s="515"/>
      <c r="B5" s="516"/>
      <c r="C5" s="3527" t="str">
        <f>'不动产比较法-住宅'!C5:D5</f>
        <v>悦秀天宸</v>
      </c>
      <c r="D5" s="3528"/>
      <c r="E5" s="3590" t="s">
        <v>3340</v>
      </c>
      <c r="F5" s="3543"/>
      <c r="G5" s="3591" t="s">
        <v>3359</v>
      </c>
      <c r="H5" s="3528"/>
      <c r="I5" s="3591" t="s">
        <v>3360</v>
      </c>
      <c r="J5" s="3528"/>
      <c r="K5" s="514"/>
      <c r="L5" s="2116"/>
      <c r="M5" s="2117"/>
      <c r="N5" s="2117"/>
      <c r="O5" s="2117"/>
      <c r="P5" s="3520"/>
      <c r="Q5" s="3521"/>
      <c r="R5" s="3506"/>
      <c r="S5" s="3507"/>
      <c r="T5" s="3506"/>
      <c r="U5" s="3507"/>
      <c r="V5" s="3524"/>
      <c r="W5" s="3524"/>
      <c r="X5" s="1553"/>
      <c r="Y5" s="3506"/>
      <c r="Z5" s="3507"/>
      <c r="AA5" s="3500"/>
      <c r="AB5" s="3524"/>
      <c r="AC5" s="3500"/>
    </row>
    <row r="6" spans="1:29" ht="15" thickBot="1">
      <c r="A6" s="517"/>
      <c r="B6" s="518"/>
      <c r="C6" s="3525" t="s">
        <v>2927</v>
      </c>
      <c r="D6" s="3526"/>
      <c r="E6" s="3544" t="s">
        <v>2927</v>
      </c>
      <c r="F6" s="3545"/>
      <c r="G6" s="3525" t="s">
        <v>2927</v>
      </c>
      <c r="H6" s="3526"/>
      <c r="I6" s="3525" t="s">
        <v>2927</v>
      </c>
      <c r="J6" s="3526"/>
      <c r="K6" s="514" t="s">
        <v>528</v>
      </c>
      <c r="L6" s="2116"/>
      <c r="M6" s="2117"/>
      <c r="N6" s="2117"/>
      <c r="O6" s="2117"/>
      <c r="P6" s="3522"/>
      <c r="Q6" s="3523"/>
      <c r="R6" s="3506"/>
      <c r="S6" s="3507"/>
      <c r="T6" s="3508"/>
      <c r="U6" s="3509"/>
      <c r="V6" s="3524"/>
      <c r="W6" s="3524"/>
      <c r="X6" s="1553"/>
      <c r="Y6" s="3508"/>
      <c r="Z6" s="3509"/>
      <c r="AA6" s="3501"/>
      <c r="AB6" s="3524"/>
      <c r="AC6" s="3501"/>
    </row>
    <row r="7" spans="1:29" s="1216" customFormat="1" ht="15" thickBot="1">
      <c r="A7" s="2865"/>
      <c r="B7" s="2872" t="s">
        <v>529</v>
      </c>
      <c r="C7" s="519">
        <f>'数据-取费表'!B2</f>
        <v>43889</v>
      </c>
      <c r="D7" s="520">
        <v>100</v>
      </c>
      <c r="E7" s="521">
        <f>C7</f>
        <v>43889</v>
      </c>
      <c r="F7" s="522">
        <f>SUMIF(58:58,YEAR(E7)&amp;"-"&amp;MONTH(E7),59:59)</f>
        <v>100</v>
      </c>
      <c r="G7" s="521">
        <f>C7</f>
        <v>43889</v>
      </c>
      <c r="H7" s="520">
        <f>SUMIF(58:58,YEAR(G7)&amp;"-"&amp;MONTH(G7),59:59)</f>
        <v>100</v>
      </c>
      <c r="I7" s="521">
        <f>C7</f>
        <v>43889</v>
      </c>
      <c r="J7" s="520">
        <f>SUMIF(58:58,YEAR(I7)&amp;"-"&amp;MONTH(I7),59:59)</f>
        <v>100</v>
      </c>
      <c r="K7" s="524"/>
      <c r="L7" s="2118"/>
      <c r="M7" s="2119"/>
      <c r="N7" s="2119"/>
      <c r="O7" s="2119"/>
      <c r="P7" s="3502" t="s">
        <v>530</v>
      </c>
      <c r="Q7" s="3511"/>
      <c r="R7" s="1554" t="s">
        <v>8</v>
      </c>
      <c r="S7" s="1555">
        <f t="shared" ref="S7:S15" si="0">F7</f>
        <v>100</v>
      </c>
      <c r="T7" s="1554" t="s">
        <v>8</v>
      </c>
      <c r="U7" s="1555">
        <f t="shared" ref="U7:U15" si="1">H7</f>
        <v>100</v>
      </c>
      <c r="V7" s="1554" t="s">
        <v>8</v>
      </c>
      <c r="W7" s="1555">
        <f t="shared" ref="W7:W15" si="2">J7</f>
        <v>100</v>
      </c>
      <c r="X7" s="1556"/>
      <c r="Y7" s="3502" t="s">
        <v>530</v>
      </c>
      <c r="Z7" s="3503"/>
      <c r="AA7" s="1557">
        <f>D7/F7</f>
        <v>1</v>
      </c>
      <c r="AB7" s="1557">
        <f>D7/H7</f>
        <v>1</v>
      </c>
      <c r="AC7" s="1557">
        <f>D7/J7</f>
        <v>1</v>
      </c>
    </row>
    <row r="8" spans="1:29" s="1216" customFormat="1" ht="15" thickBot="1">
      <c r="A8" s="2866"/>
      <c r="B8" s="2873"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524"/>
      <c r="L8" s="2118"/>
      <c r="M8" s="2119"/>
      <c r="N8" s="2119"/>
      <c r="O8" s="2119"/>
      <c r="P8" s="3502" t="s">
        <v>533</v>
      </c>
      <c r="Q8" s="3503"/>
      <c r="R8" s="1554" t="s">
        <v>8</v>
      </c>
      <c r="S8" s="1555">
        <f t="shared" si="0"/>
        <v>100</v>
      </c>
      <c r="T8" s="1554" t="s">
        <v>8</v>
      </c>
      <c r="U8" s="1555">
        <f t="shared" si="1"/>
        <v>100</v>
      </c>
      <c r="V8" s="1554" t="s">
        <v>8</v>
      </c>
      <c r="W8" s="1555">
        <f t="shared" si="2"/>
        <v>100</v>
      </c>
      <c r="X8" s="1556"/>
      <c r="Y8" s="3502" t="s">
        <v>533</v>
      </c>
      <c r="Z8" s="3503"/>
      <c r="AA8" s="1557">
        <f t="shared" ref="AA8:AA46" si="3">D8/F8</f>
        <v>1</v>
      </c>
      <c r="AB8" s="1557">
        <f t="shared" ref="AB8:AB46" si="4">D8/H8</f>
        <v>1</v>
      </c>
      <c r="AC8" s="1557">
        <f t="shared" ref="AC8:AC46" si="5">D8/J8</f>
        <v>1</v>
      </c>
    </row>
    <row r="9" spans="1:29" s="1216" customFormat="1" ht="14.4">
      <c r="A9" s="2867"/>
      <c r="B9" s="2874" t="s">
        <v>2752</v>
      </c>
      <c r="C9" s="3245" t="s">
        <v>3342</v>
      </c>
      <c r="D9" s="254">
        <v>100</v>
      </c>
      <c r="E9" s="860" t="s">
        <v>3132</v>
      </c>
      <c r="F9" s="254">
        <f>SUMIF(63:63,E9,64:64)-SUMIF(63:63,C9,64:64)+100</f>
        <v>100</v>
      </c>
      <c r="G9" s="860" t="s">
        <v>3132</v>
      </c>
      <c r="H9" s="254">
        <f>SUMIF(63:63,G9,64:64)-SUMIF(63:63,C9,64:64)+100</f>
        <v>100</v>
      </c>
      <c r="I9" s="860" t="s">
        <v>3132</v>
      </c>
      <c r="J9" s="254">
        <f>SUMIF(63:63,I9,64:64)-SUMIF(63:63,C9,64:64)+100</f>
        <v>100</v>
      </c>
      <c r="K9" s="524"/>
      <c r="L9" s="2118"/>
      <c r="M9" s="2119"/>
      <c r="N9" s="2119"/>
      <c r="O9" s="2120"/>
      <c r="P9" s="3510" t="s">
        <v>535</v>
      </c>
      <c r="Q9" s="1147" t="str">
        <f t="shared" ref="Q9:Q15" si="6">B9</f>
        <v>用途</v>
      </c>
      <c r="R9" s="1554" t="s">
        <v>8</v>
      </c>
      <c r="S9" s="1555">
        <f t="shared" si="0"/>
        <v>100</v>
      </c>
      <c r="T9" s="1554" t="s">
        <v>8</v>
      </c>
      <c r="U9" s="1555">
        <f t="shared" si="1"/>
        <v>100</v>
      </c>
      <c r="V9" s="1554" t="s">
        <v>8</v>
      </c>
      <c r="W9" s="1555">
        <f t="shared" si="2"/>
        <v>100</v>
      </c>
      <c r="X9" s="1556"/>
      <c r="Y9" s="3467" t="s">
        <v>536</v>
      </c>
      <c r="Z9" s="1146" t="str">
        <f t="shared" ref="Z9:Z15" si="7">Q9</f>
        <v>用途</v>
      </c>
      <c r="AA9" s="1557">
        <f t="shared" si="3"/>
        <v>1</v>
      </c>
      <c r="AB9" s="1557">
        <f t="shared" si="4"/>
        <v>1</v>
      </c>
      <c r="AC9" s="1557">
        <f t="shared" si="5"/>
        <v>1</v>
      </c>
    </row>
    <row r="10" spans="1:29" s="1334" customFormat="1" ht="28.8">
      <c r="A10" s="2868"/>
      <c r="B10" s="2873" t="s">
        <v>2753</v>
      </c>
      <c r="C10" s="861" t="s">
        <v>3306</v>
      </c>
      <c r="D10" s="255">
        <v>100</v>
      </c>
      <c r="E10" s="861" t="s">
        <v>3306</v>
      </c>
      <c r="F10" s="255">
        <f>SUMIF(65:65,E10,66:66)-SUMIF(65:65,C10,66:66)+100</f>
        <v>100</v>
      </c>
      <c r="G10" s="861" t="s">
        <v>3306</v>
      </c>
      <c r="H10" s="255">
        <f>SUMIF(65:65,G10,66:66)-SUMIF(65:65,C10,66:66)+100</f>
        <v>100</v>
      </c>
      <c r="I10" s="861" t="s">
        <v>3306</v>
      </c>
      <c r="J10" s="255">
        <f>SUMIF(65:65,I10,66:66)-SUMIF(65:65,C10,66:66)+100</f>
        <v>100</v>
      </c>
      <c r="K10" s="584">
        <v>2</v>
      </c>
      <c r="L10" s="2121"/>
      <c r="M10" s="2161"/>
      <c r="N10" s="2161"/>
      <c r="O10" s="2122"/>
      <c r="P10" s="3510"/>
      <c r="Q10" s="1147" t="str">
        <f t="shared" si="6"/>
        <v>土地使用年限（年）</v>
      </c>
      <c r="R10" s="1554" t="s">
        <v>8</v>
      </c>
      <c r="S10" s="1555">
        <f t="shared" si="0"/>
        <v>100</v>
      </c>
      <c r="T10" s="1554" t="s">
        <v>8</v>
      </c>
      <c r="U10" s="1555">
        <f t="shared" si="1"/>
        <v>100</v>
      </c>
      <c r="V10" s="1554" t="s">
        <v>8</v>
      </c>
      <c r="W10" s="1555">
        <f t="shared" si="2"/>
        <v>100</v>
      </c>
      <c r="X10" s="1556"/>
      <c r="Y10" s="3467"/>
      <c r="Z10" s="1146" t="str">
        <f t="shared" si="7"/>
        <v>土地使用年限（年）</v>
      </c>
      <c r="AA10" s="1557">
        <f t="shared" si="3"/>
        <v>1</v>
      </c>
      <c r="AB10" s="1557">
        <f t="shared" si="4"/>
        <v>1</v>
      </c>
      <c r="AC10" s="1557">
        <f t="shared" si="5"/>
        <v>1</v>
      </c>
    </row>
    <row r="11" spans="1:29" ht="15">
      <c r="A11" s="2869"/>
      <c r="B11" s="2873" t="s">
        <v>2754</v>
      </c>
      <c r="C11" s="533">
        <v>3.5</v>
      </c>
      <c r="D11" s="255">
        <v>100</v>
      </c>
      <c r="E11" s="533">
        <v>2.99</v>
      </c>
      <c r="F11" s="255">
        <f>LOOKUP(E11,68:68,69:69)-LOOKUP(C11,68:68,69:69)+100</f>
        <v>100</v>
      </c>
      <c r="G11" s="534"/>
      <c r="H11" s="255">
        <f>LOOKUP(G11,68:68,69:69)-LOOKUP(C11,68:68,69:69)+100</f>
        <v>100</v>
      </c>
      <c r="I11" s="533"/>
      <c r="J11" s="255">
        <f>LOOKUP(I11,68:68,69:69)-LOOKUP(C11,68:68,69:69)+100</f>
        <v>100</v>
      </c>
      <c r="K11" s="584">
        <v>0</v>
      </c>
      <c r="L11" s="2123"/>
      <c r="M11" s="2117"/>
      <c r="N11" s="2117"/>
      <c r="O11" s="2124"/>
      <c r="P11" s="3510"/>
      <c r="Q11" s="1147" t="str">
        <f t="shared" si="6"/>
        <v>容积率</v>
      </c>
      <c r="R11" s="1554" t="s">
        <v>8</v>
      </c>
      <c r="S11" s="1555">
        <f t="shared" si="0"/>
        <v>100</v>
      </c>
      <c r="T11" s="1554" t="s">
        <v>8</v>
      </c>
      <c r="U11" s="1555">
        <f t="shared" si="1"/>
        <v>100</v>
      </c>
      <c r="V11" s="1554" t="s">
        <v>8</v>
      </c>
      <c r="W11" s="1555">
        <f t="shared" si="2"/>
        <v>100</v>
      </c>
      <c r="X11" s="1556"/>
      <c r="Y11" s="3467"/>
      <c r="Z11" s="1146" t="str">
        <f t="shared" si="7"/>
        <v>容积率</v>
      </c>
      <c r="AA11" s="1557">
        <f t="shared" si="3"/>
        <v>1</v>
      </c>
      <c r="AB11" s="1557">
        <f t="shared" si="4"/>
        <v>1</v>
      </c>
      <c r="AC11" s="1557">
        <f t="shared" si="5"/>
        <v>1</v>
      </c>
    </row>
    <row r="12" spans="1:29" s="1216" customFormat="1" ht="15">
      <c r="A12" s="2870"/>
      <c r="B12" s="2876">
        <v>111</v>
      </c>
      <c r="C12" s="528"/>
      <c r="D12" s="538">
        <v>100</v>
      </c>
      <c r="E12" s="539"/>
      <c r="F12" s="255">
        <f>SUMIF(70:70,E12,71:71)-SUMIF(70:70,C12,71:71)+100</f>
        <v>100</v>
      </c>
      <c r="G12" s="912"/>
      <c r="H12" s="255">
        <f>SUMIF(70:70,G12,71:71)-SUMIF(70:70,C12,71:71)+100</f>
        <v>100</v>
      </c>
      <c r="I12" s="539"/>
      <c r="J12" s="255">
        <f>SUMIF(70:70,I12,71:71)-SUMIF(70:70,C12,71:71)+100</f>
        <v>100</v>
      </c>
      <c r="K12" s="581"/>
      <c r="L12" s="2118"/>
      <c r="M12" s="2119"/>
      <c r="N12" s="2119"/>
      <c r="O12" s="2120"/>
      <c r="P12" s="3510"/>
      <c r="Q12" s="1147">
        <f t="shared" si="6"/>
        <v>111</v>
      </c>
      <c r="R12" s="1554" t="s">
        <v>8</v>
      </c>
      <c r="S12" s="1555">
        <f t="shared" si="0"/>
        <v>100</v>
      </c>
      <c r="T12" s="1554" t="s">
        <v>8</v>
      </c>
      <c r="U12" s="1555">
        <f t="shared" si="1"/>
        <v>100</v>
      </c>
      <c r="V12" s="1554" t="s">
        <v>8</v>
      </c>
      <c r="W12" s="1555">
        <f t="shared" si="2"/>
        <v>100</v>
      </c>
      <c r="X12" s="1556"/>
      <c r="Y12" s="3467"/>
      <c r="Z12" s="1146">
        <f t="shared" si="7"/>
        <v>111</v>
      </c>
      <c r="AA12" s="1557">
        <f>D12/F12</f>
        <v>1</v>
      </c>
      <c r="AB12" s="1557">
        <f>D12/H12</f>
        <v>1</v>
      </c>
      <c r="AC12" s="1557">
        <f>D12/J12</f>
        <v>1</v>
      </c>
    </row>
    <row r="13" spans="1:29" ht="15">
      <c r="A13" s="2870"/>
      <c r="B13" s="2876">
        <v>111</v>
      </c>
      <c r="C13" s="539"/>
      <c r="D13" s="540">
        <v>100</v>
      </c>
      <c r="E13" s="539"/>
      <c r="F13" s="255">
        <f>SUMIF(72:72,E13,73:73)-SUMIF(72:72,C13,73:73)+100</f>
        <v>100</v>
      </c>
      <c r="G13" s="912"/>
      <c r="H13" s="540">
        <f>SUMIF(72:72,G13,73:73)-SUMIF(72:72,C13,73:73)+100</f>
        <v>100</v>
      </c>
      <c r="I13" s="539"/>
      <c r="J13" s="540">
        <f>SUMIF(72:72,I13,73:73)-SUMIF(72:72,C13,73:73)+100</f>
        <v>100</v>
      </c>
      <c r="K13" s="581"/>
      <c r="L13" s="2125"/>
      <c r="M13" s="2117"/>
      <c r="N13" s="2117"/>
      <c r="O13" s="2124"/>
      <c r="P13" s="3510"/>
      <c r="Q13" s="1147">
        <f t="shared" si="6"/>
        <v>111</v>
      </c>
      <c r="R13" s="1554" t="s">
        <v>8</v>
      </c>
      <c r="S13" s="1555">
        <f t="shared" si="0"/>
        <v>100</v>
      </c>
      <c r="T13" s="1554" t="s">
        <v>8</v>
      </c>
      <c r="U13" s="1555">
        <f t="shared" si="1"/>
        <v>100</v>
      </c>
      <c r="V13" s="1554" t="s">
        <v>8</v>
      </c>
      <c r="W13" s="1555">
        <f t="shared" si="2"/>
        <v>100</v>
      </c>
      <c r="X13" s="1556"/>
      <c r="Y13" s="3467"/>
      <c r="Z13" s="1146">
        <f t="shared" si="7"/>
        <v>111</v>
      </c>
      <c r="AA13" s="1557">
        <f t="shared" si="3"/>
        <v>1</v>
      </c>
      <c r="AB13" s="1557">
        <f t="shared" si="4"/>
        <v>1</v>
      </c>
      <c r="AC13" s="1557">
        <f t="shared" si="5"/>
        <v>1</v>
      </c>
    </row>
    <row r="14" spans="1:29" ht="15.6" thickBot="1">
      <c r="A14" s="2871"/>
      <c r="B14" s="2877">
        <v>111</v>
      </c>
      <c r="C14" s="545"/>
      <c r="D14" s="546">
        <v>100</v>
      </c>
      <c r="E14" s="545"/>
      <c r="F14" s="546">
        <f>SUMIF(74:74,E14,75:75)-SUMIF(74:74,C14,75:75)+100</f>
        <v>100</v>
      </c>
      <c r="G14" s="912"/>
      <c r="H14" s="546">
        <f>SUMIF(74:74,G14,75:75)-SUMIF(74:74,C14,75:75)+100</f>
        <v>100</v>
      </c>
      <c r="I14" s="539"/>
      <c r="J14" s="546">
        <f>SUMIF(74:74,I14,75:75)-SUMIF(74:74,C14,75:75)+100</f>
        <v>100</v>
      </c>
      <c r="K14" s="581"/>
      <c r="L14" s="2125"/>
      <c r="M14" s="2117"/>
      <c r="N14" s="2117"/>
      <c r="O14" s="2124"/>
      <c r="P14" s="3510"/>
      <c r="Q14" s="1147">
        <f t="shared" si="6"/>
        <v>111</v>
      </c>
      <c r="R14" s="1554" t="s">
        <v>8</v>
      </c>
      <c r="S14" s="1555">
        <f t="shared" si="0"/>
        <v>100</v>
      </c>
      <c r="T14" s="1554" t="s">
        <v>8</v>
      </c>
      <c r="U14" s="1555">
        <f t="shared" si="1"/>
        <v>100</v>
      </c>
      <c r="V14" s="1554" t="s">
        <v>8</v>
      </c>
      <c r="W14" s="1555">
        <f t="shared" si="2"/>
        <v>100</v>
      </c>
      <c r="X14" s="1556"/>
      <c r="Y14" s="3467"/>
      <c r="Z14" s="1146">
        <f t="shared" si="7"/>
        <v>111</v>
      </c>
      <c r="AA14" s="1557">
        <f t="shared" si="3"/>
        <v>1</v>
      </c>
      <c r="AB14" s="1557">
        <f t="shared" si="4"/>
        <v>1</v>
      </c>
      <c r="AC14" s="1557">
        <f t="shared" si="5"/>
        <v>1</v>
      </c>
    </row>
    <row r="15" spans="1:29" ht="15">
      <c r="A15" s="2863" t="s">
        <v>2750</v>
      </c>
      <c r="B15" s="166" t="s">
        <v>541</v>
      </c>
      <c r="C15" s="867" t="str">
        <f>估价对象房地状况!C4</f>
        <v>较好</v>
      </c>
      <c r="D15" s="549">
        <v>100</v>
      </c>
      <c r="E15" s="550"/>
      <c r="F15" s="551">
        <f>SUMIF(76:76,E16,77:77)-SUMIF(76:76,C16,77:77)+100</f>
        <v>100</v>
      </c>
      <c r="G15" s="552"/>
      <c r="H15" s="549">
        <f>SUMIF(76:76,G16,77:77)-SUMIF(76:76,C16,77:77)+100</f>
        <v>100</v>
      </c>
      <c r="I15" s="550"/>
      <c r="J15" s="549">
        <f>SUMIF(76:76,I16,77:77)-SUMIF(76:76,C16,77:77)+100</f>
        <v>100</v>
      </c>
      <c r="K15" s="898"/>
      <c r="L15" s="2125"/>
      <c r="M15" s="2117"/>
      <c r="N15" s="2117"/>
      <c r="O15" s="2124"/>
      <c r="P15" s="3512" t="s">
        <v>540</v>
      </c>
      <c r="Q15" s="1558" t="str">
        <f t="shared" si="6"/>
        <v>商业繁华度</v>
      </c>
      <c r="R15" s="1559" t="s">
        <v>8</v>
      </c>
      <c r="S15" s="1560">
        <f t="shared" si="0"/>
        <v>100</v>
      </c>
      <c r="T15" s="1559" t="s">
        <v>8</v>
      </c>
      <c r="U15" s="1560">
        <f t="shared" si="1"/>
        <v>100</v>
      </c>
      <c r="V15" s="1559" t="s">
        <v>8</v>
      </c>
      <c r="W15" s="1560">
        <f t="shared" si="2"/>
        <v>100</v>
      </c>
      <c r="X15" s="1553"/>
      <c r="Y15" s="3512" t="s">
        <v>540</v>
      </c>
      <c r="Z15" s="1561" t="str">
        <f t="shared" si="7"/>
        <v>商业繁华度</v>
      </c>
      <c r="AA15" s="1562">
        <f t="shared" si="3"/>
        <v>1</v>
      </c>
      <c r="AB15" s="1562">
        <f t="shared" si="4"/>
        <v>1</v>
      </c>
      <c r="AC15" s="1562">
        <f t="shared" si="5"/>
        <v>1</v>
      </c>
    </row>
    <row r="16" spans="1:29" ht="15">
      <c r="A16" s="532"/>
      <c r="B16" s="869"/>
      <c r="C16" s="576" t="s">
        <v>3134</v>
      </c>
      <c r="D16" s="555"/>
      <c r="E16" s="576" t="s">
        <v>3134</v>
      </c>
      <c r="F16" s="557"/>
      <c r="G16" s="576" t="s">
        <v>3134</v>
      </c>
      <c r="H16" s="559"/>
      <c r="I16" s="576" t="s">
        <v>3134</v>
      </c>
      <c r="J16" s="555"/>
      <c r="K16" s="899"/>
      <c r="L16" s="2125"/>
      <c r="M16" s="2117"/>
      <c r="N16" s="2117"/>
      <c r="O16" s="2124"/>
      <c r="P16" s="3513"/>
      <c r="Q16" s="1558"/>
      <c r="R16" s="1559"/>
      <c r="S16" s="1560"/>
      <c r="T16" s="1559"/>
      <c r="U16" s="1560"/>
      <c r="V16" s="1559"/>
      <c r="W16" s="1560"/>
      <c r="X16" s="1553"/>
      <c r="Y16" s="3513"/>
      <c r="Z16" s="1561"/>
      <c r="AA16" s="1562">
        <v>1</v>
      </c>
      <c r="AB16" s="1562">
        <v>1</v>
      </c>
      <c r="AC16" s="1562">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25"/>
      <c r="M17" s="2117"/>
      <c r="N17" s="2117"/>
      <c r="O17" s="2124"/>
      <c r="P17" s="3513"/>
      <c r="Q17" s="1558" t="str">
        <f>B17</f>
        <v>交通便捷度</v>
      </c>
      <c r="R17" s="1559" t="s">
        <v>8</v>
      </c>
      <c r="S17" s="1560">
        <f>F17</f>
        <v>100</v>
      </c>
      <c r="T17" s="1559" t="s">
        <v>8</v>
      </c>
      <c r="U17" s="1560">
        <f>H17</f>
        <v>100</v>
      </c>
      <c r="V17" s="1559" t="s">
        <v>8</v>
      </c>
      <c r="W17" s="1560">
        <f>J17</f>
        <v>100</v>
      </c>
      <c r="X17" s="1553"/>
      <c r="Y17" s="3513"/>
      <c r="Z17" s="1561" t="str">
        <f>Q17</f>
        <v>交通便捷度</v>
      </c>
      <c r="AA17" s="1562">
        <f t="shared" si="3"/>
        <v>1</v>
      </c>
      <c r="AB17" s="1562">
        <f t="shared" si="4"/>
        <v>1</v>
      </c>
      <c r="AC17" s="1562">
        <f t="shared" si="5"/>
        <v>1</v>
      </c>
    </row>
    <row r="18" spans="1:29" ht="15">
      <c r="A18" s="532"/>
      <c r="B18" s="595"/>
      <c r="C18" s="576" t="s">
        <v>3134</v>
      </c>
      <c r="D18" s="559"/>
      <c r="E18" s="576" t="s">
        <v>3134</v>
      </c>
      <c r="F18" s="563"/>
      <c r="G18" s="576" t="s">
        <v>3134</v>
      </c>
      <c r="H18" s="555"/>
      <c r="I18" s="576" t="s">
        <v>3134</v>
      </c>
      <c r="J18" s="555"/>
      <c r="K18" s="899"/>
      <c r="L18" s="2125"/>
      <c r="M18" s="2117"/>
      <c r="N18" s="2117"/>
      <c r="O18" s="2124"/>
      <c r="P18" s="3513"/>
      <c r="Q18" s="1558"/>
      <c r="R18" s="1559"/>
      <c r="S18" s="1560"/>
      <c r="T18" s="1559"/>
      <c r="U18" s="1560"/>
      <c r="V18" s="1559"/>
      <c r="W18" s="1560"/>
      <c r="X18" s="1553"/>
      <c r="Y18" s="3513"/>
      <c r="Z18" s="1561"/>
      <c r="AA18" s="1562">
        <v>1</v>
      </c>
      <c r="AB18" s="1562">
        <v>1</v>
      </c>
      <c r="AC18" s="1562">
        <v>1</v>
      </c>
    </row>
    <row r="19" spans="1:29" ht="15">
      <c r="A19" s="532"/>
      <c r="B19" s="2562"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98"/>
      <c r="L19" s="2125"/>
      <c r="M19" s="2117"/>
      <c r="N19" s="2117"/>
      <c r="O19" s="2124"/>
      <c r="P19" s="3513"/>
      <c r="Q19" s="1558" t="str">
        <f>B19</f>
        <v>公共配套设施</v>
      </c>
      <c r="R19" s="1559" t="s">
        <v>8</v>
      </c>
      <c r="S19" s="1560">
        <f>F19</f>
        <v>100</v>
      </c>
      <c r="T19" s="1559" t="s">
        <v>8</v>
      </c>
      <c r="U19" s="1560">
        <f>H19</f>
        <v>100</v>
      </c>
      <c r="V19" s="1559" t="s">
        <v>8</v>
      </c>
      <c r="W19" s="1560">
        <f>J19</f>
        <v>100</v>
      </c>
      <c r="X19" s="1553"/>
      <c r="Y19" s="3513"/>
      <c r="Z19" s="1561" t="str">
        <f>Q19</f>
        <v>公共配套设施</v>
      </c>
      <c r="AA19" s="1562">
        <f t="shared" si="3"/>
        <v>1</v>
      </c>
      <c r="AB19" s="1562">
        <f t="shared" si="4"/>
        <v>1</v>
      </c>
      <c r="AC19" s="1562">
        <f t="shared" si="5"/>
        <v>1</v>
      </c>
    </row>
    <row r="20" spans="1:29" ht="15">
      <c r="A20" s="532"/>
      <c r="B20" s="595"/>
      <c r="C20" s="576" t="s">
        <v>3329</v>
      </c>
      <c r="D20" s="555"/>
      <c r="E20" s="576" t="s">
        <v>3329</v>
      </c>
      <c r="F20" s="557"/>
      <c r="G20" s="576" t="s">
        <v>3329</v>
      </c>
      <c r="H20" s="555"/>
      <c r="I20" s="576" t="s">
        <v>3329</v>
      </c>
      <c r="J20" s="555"/>
      <c r="K20" s="899"/>
      <c r="L20" s="2125"/>
      <c r="M20" s="2117"/>
      <c r="N20" s="2117"/>
      <c r="O20" s="2124"/>
      <c r="P20" s="3513"/>
      <c r="Q20" s="1558"/>
      <c r="R20" s="1559"/>
      <c r="S20" s="1560"/>
      <c r="T20" s="1559"/>
      <c r="U20" s="1560"/>
      <c r="V20" s="1559"/>
      <c r="W20" s="1560"/>
      <c r="X20" s="1553"/>
      <c r="Y20" s="3513"/>
      <c r="Z20" s="1561"/>
      <c r="AA20" s="1562">
        <v>1</v>
      </c>
      <c r="AB20" s="1562">
        <v>1</v>
      </c>
      <c r="AC20" s="1562">
        <v>1</v>
      </c>
    </row>
    <row r="21" spans="1:29" ht="15">
      <c r="A21" s="532"/>
      <c r="B21" s="2555" t="s">
        <v>2555</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25"/>
      <c r="M21" s="2117"/>
      <c r="N21" s="2117"/>
      <c r="O21" s="2124"/>
      <c r="P21" s="3513"/>
      <c r="Q21" s="2541" t="str">
        <f>B21</f>
        <v>基础设施水平</v>
      </c>
      <c r="R21" s="1559" t="s">
        <v>8</v>
      </c>
      <c r="S21" s="1560">
        <f>F21</f>
        <v>100</v>
      </c>
      <c r="T21" s="1559" t="s">
        <v>8</v>
      </c>
      <c r="U21" s="1560">
        <f>H21</f>
        <v>100</v>
      </c>
      <c r="V21" s="1559" t="s">
        <v>8</v>
      </c>
      <c r="W21" s="1560">
        <f>J21</f>
        <v>100</v>
      </c>
      <c r="X21" s="2543"/>
      <c r="Y21" s="3513"/>
      <c r="Z21" s="2542" t="str">
        <f>Q21</f>
        <v>基础设施水平</v>
      </c>
      <c r="AA21" s="1562">
        <f t="shared" ref="AA21" si="8">D21/F21</f>
        <v>1</v>
      </c>
      <c r="AB21" s="1562">
        <f t="shared" ref="AB21" si="9">D21/H21</f>
        <v>1</v>
      </c>
      <c r="AC21" s="1562">
        <f t="shared" ref="AC21" si="10">D21/J21</f>
        <v>1</v>
      </c>
    </row>
    <row r="22" spans="1:29" ht="15">
      <c r="A22" s="532"/>
      <c r="B22" s="922"/>
      <c r="C22" s="873" t="s">
        <v>3136</v>
      </c>
      <c r="D22" s="555"/>
      <c r="E22" s="873" t="s">
        <v>3136</v>
      </c>
      <c r="F22" s="557"/>
      <c r="G22" s="873" t="s">
        <v>3136</v>
      </c>
      <c r="H22" s="555"/>
      <c r="I22" s="873" t="s">
        <v>3136</v>
      </c>
      <c r="J22" s="555"/>
      <c r="K22" s="2564"/>
      <c r="L22" s="2125"/>
      <c r="M22" s="2117"/>
      <c r="N22" s="2117"/>
      <c r="O22" s="2124"/>
      <c r="P22" s="3513"/>
      <c r="Q22" s="2541"/>
      <c r="R22" s="1559"/>
      <c r="S22" s="1560"/>
      <c r="T22" s="1559"/>
      <c r="U22" s="1560"/>
      <c r="V22" s="1559"/>
      <c r="W22" s="1560"/>
      <c r="X22" s="2543"/>
      <c r="Y22" s="3513"/>
      <c r="Z22" s="2542"/>
      <c r="AA22" s="1562">
        <v>1</v>
      </c>
      <c r="AB22" s="1562">
        <v>1</v>
      </c>
      <c r="AC22" s="1562">
        <v>1</v>
      </c>
    </row>
    <row r="23" spans="1:29" ht="15">
      <c r="A23" s="532"/>
      <c r="B23" s="871" t="s">
        <v>297</v>
      </c>
      <c r="C23" s="900"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98"/>
      <c r="L23" s="2125"/>
      <c r="M23" s="2117"/>
      <c r="N23" s="2117"/>
      <c r="O23" s="2124"/>
      <c r="P23" s="3513"/>
      <c r="Q23" s="1558" t="str">
        <f>B23</f>
        <v>自然及人文环境</v>
      </c>
      <c r="R23" s="1559" t="s">
        <v>8</v>
      </c>
      <c r="S23" s="1560">
        <f>F23</f>
        <v>100</v>
      </c>
      <c r="T23" s="1559" t="s">
        <v>8</v>
      </c>
      <c r="U23" s="1560">
        <f>H23</f>
        <v>100</v>
      </c>
      <c r="V23" s="1559" t="s">
        <v>8</v>
      </c>
      <c r="W23" s="1560">
        <f>J23</f>
        <v>100</v>
      </c>
      <c r="X23" s="1553"/>
      <c r="Y23" s="3513"/>
      <c r="Z23" s="1561" t="str">
        <f>Q23</f>
        <v>自然及人文环境</v>
      </c>
      <c r="AA23" s="1562">
        <f t="shared" si="3"/>
        <v>1</v>
      </c>
      <c r="AB23" s="1562">
        <f t="shared" si="4"/>
        <v>1</v>
      </c>
      <c r="AC23" s="1562">
        <f t="shared" si="5"/>
        <v>1</v>
      </c>
    </row>
    <row r="24" spans="1:29" ht="15">
      <c r="A24" s="532"/>
      <c r="B24" s="595"/>
      <c r="C24" s="576" t="s">
        <v>3329</v>
      </c>
      <c r="D24" s="555"/>
      <c r="E24" s="576" t="s">
        <v>3329</v>
      </c>
      <c r="F24" s="557"/>
      <c r="G24" s="576" t="s">
        <v>3329</v>
      </c>
      <c r="H24" s="555"/>
      <c r="I24" s="576" t="s">
        <v>3329</v>
      </c>
      <c r="J24" s="555"/>
      <c r="K24" s="899"/>
      <c r="L24" s="2125"/>
      <c r="M24" s="2117"/>
      <c r="N24" s="2117"/>
      <c r="O24" s="2124"/>
      <c r="P24" s="3513"/>
      <c r="Q24" s="1558"/>
      <c r="R24" s="1559"/>
      <c r="S24" s="1560"/>
      <c r="T24" s="1559"/>
      <c r="U24" s="1560"/>
      <c r="V24" s="1559"/>
      <c r="W24" s="1560"/>
      <c r="X24" s="1553"/>
      <c r="Y24" s="3513"/>
      <c r="Z24" s="1561"/>
      <c r="AA24" s="1562">
        <v>1</v>
      </c>
      <c r="AB24" s="1562">
        <v>1</v>
      </c>
      <c r="AC24" s="1562">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5"/>
      <c r="M25" s="2117"/>
      <c r="N25" s="2117"/>
      <c r="O25" s="2124"/>
      <c r="P25" s="3513"/>
      <c r="Q25" s="1558" t="str">
        <f t="shared" ref="Q25:Q46" si="11">B25</f>
        <v>临街状况</v>
      </c>
      <c r="R25" s="1559" t="s">
        <v>8</v>
      </c>
      <c r="S25" s="1560">
        <f>F25</f>
        <v>100</v>
      </c>
      <c r="T25" s="1559" t="s">
        <v>8</v>
      </c>
      <c r="U25" s="1560">
        <f>H25</f>
        <v>100</v>
      </c>
      <c r="V25" s="1559" t="s">
        <v>8</v>
      </c>
      <c r="W25" s="1560">
        <f>J25</f>
        <v>100</v>
      </c>
      <c r="X25" s="1553"/>
      <c r="Y25" s="3513"/>
      <c r="Z25" s="1561" t="str">
        <f>Q25</f>
        <v>临街状况</v>
      </c>
      <c r="AA25" s="1562">
        <f t="shared" si="3"/>
        <v>1</v>
      </c>
      <c r="AB25" s="1562">
        <f t="shared" si="4"/>
        <v>1</v>
      </c>
      <c r="AC25" s="1562">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5"/>
      <c r="M26" s="2117"/>
      <c r="N26" s="2117"/>
      <c r="O26" s="2124"/>
      <c r="P26" s="3513"/>
      <c r="Q26" s="1558" t="str">
        <f t="shared" si="11"/>
        <v>平面位置/可视性</v>
      </c>
      <c r="R26" s="1559" t="s">
        <v>8</v>
      </c>
      <c r="S26" s="1560">
        <f>F26</f>
        <v>100</v>
      </c>
      <c r="T26" s="1559" t="s">
        <v>8</v>
      </c>
      <c r="U26" s="1560">
        <f>H26</f>
        <v>100</v>
      </c>
      <c r="V26" s="1559" t="s">
        <v>8</v>
      </c>
      <c r="W26" s="1560">
        <f>J26</f>
        <v>100</v>
      </c>
      <c r="X26" s="1553"/>
      <c r="Y26" s="3513"/>
      <c r="Z26" s="1561" t="str">
        <f>Q26</f>
        <v>平面位置/可视性</v>
      </c>
      <c r="AA26" s="1562">
        <f t="shared" si="3"/>
        <v>1</v>
      </c>
      <c r="AB26" s="1562">
        <f t="shared" si="4"/>
        <v>1</v>
      </c>
      <c r="AC26" s="1562">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18"/>
      <c r="M27" s="2119"/>
      <c r="N27" s="2119"/>
      <c r="O27" s="2120"/>
      <c r="P27" s="3513"/>
      <c r="Q27" s="1147" t="str">
        <f t="shared" si="11"/>
        <v>人流量</v>
      </c>
      <c r="R27" s="1554" t="s">
        <v>8</v>
      </c>
      <c r="S27" s="1555">
        <f>F27</f>
        <v>100</v>
      </c>
      <c r="T27" s="1554" t="s">
        <v>8</v>
      </c>
      <c r="U27" s="1555">
        <f>H27</f>
        <v>100</v>
      </c>
      <c r="V27" s="1554" t="s">
        <v>8</v>
      </c>
      <c r="W27" s="1555">
        <f>J27</f>
        <v>100</v>
      </c>
      <c r="X27" s="1556"/>
      <c r="Y27" s="3513"/>
      <c r="Z27" s="1146" t="str">
        <f>Q27</f>
        <v>人流量</v>
      </c>
      <c r="AA27" s="1562">
        <f>D27/F27</f>
        <v>1</v>
      </c>
      <c r="AB27" s="1562">
        <f>D27/H27</f>
        <v>1</v>
      </c>
      <c r="AC27" s="1562">
        <f>D27/J27</f>
        <v>1</v>
      </c>
    </row>
    <row r="28" spans="1:29" ht="15">
      <c r="A28" s="532"/>
      <c r="B28" s="527" t="s">
        <v>761</v>
      </c>
      <c r="C28" s="583">
        <v>1</v>
      </c>
      <c r="D28" s="540">
        <v>100</v>
      </c>
      <c r="E28" s="583">
        <v>1</v>
      </c>
      <c r="F28" s="575">
        <f>SUMIF(92:92,E28,93:93)-SUMIF(92:92,C28,93:93)+100</f>
        <v>100</v>
      </c>
      <c r="G28" s="583">
        <v>1</v>
      </c>
      <c r="H28" s="540">
        <f>SUMIF(92:92,G28,93:93)-SUMIF(92:92,C28,93:93)+100</f>
        <v>100</v>
      </c>
      <c r="I28" s="583">
        <v>1</v>
      </c>
      <c r="J28" s="540">
        <f>SUMIF(92:92,I28,93:93)-SUMIF(92:92,C28,93:93)+100</f>
        <v>100</v>
      </c>
      <c r="K28" s="581"/>
      <c r="L28" s="2125"/>
      <c r="M28" s="2117"/>
      <c r="N28" s="2117"/>
      <c r="O28" s="2124"/>
      <c r="P28" s="3513"/>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513"/>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5"/>
      <c r="M29" s="2117"/>
      <c r="N29" s="2117"/>
      <c r="O29" s="2124"/>
      <c r="P29" s="3513"/>
      <c r="Q29" s="1558">
        <f t="shared" si="11"/>
        <v>111</v>
      </c>
      <c r="R29" s="1559" t="s">
        <v>8</v>
      </c>
      <c r="S29" s="1560">
        <f t="shared" si="12"/>
        <v>100</v>
      </c>
      <c r="T29" s="1559" t="s">
        <v>8</v>
      </c>
      <c r="U29" s="1560">
        <f t="shared" si="13"/>
        <v>100</v>
      </c>
      <c r="V29" s="1559" t="s">
        <v>8</v>
      </c>
      <c r="W29" s="1560">
        <f t="shared" si="14"/>
        <v>100</v>
      </c>
      <c r="X29" s="1553"/>
      <c r="Y29" s="3513"/>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5"/>
      <c r="M30" s="2117"/>
      <c r="N30" s="2117"/>
      <c r="O30" s="2124"/>
      <c r="P30" s="3513"/>
      <c r="Q30" s="1558">
        <f t="shared" si="11"/>
        <v>111</v>
      </c>
      <c r="R30" s="1559" t="s">
        <v>8</v>
      </c>
      <c r="S30" s="1560">
        <f t="shared" si="12"/>
        <v>100</v>
      </c>
      <c r="T30" s="1559" t="s">
        <v>8</v>
      </c>
      <c r="U30" s="1560">
        <f t="shared" si="13"/>
        <v>100</v>
      </c>
      <c r="V30" s="1559" t="s">
        <v>8</v>
      </c>
      <c r="W30" s="1560">
        <f t="shared" si="14"/>
        <v>100</v>
      </c>
      <c r="X30" s="1553"/>
      <c r="Y30" s="3513"/>
      <c r="Z30" s="1561">
        <f t="shared" si="15"/>
        <v>111</v>
      </c>
      <c r="AA30" s="1562">
        <f t="shared" si="3"/>
        <v>1</v>
      </c>
      <c r="AB30" s="1562">
        <f t="shared" si="4"/>
        <v>1</v>
      </c>
      <c r="AC30" s="1562">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5"/>
      <c r="M31" s="2117"/>
      <c r="N31" s="2117"/>
      <c r="O31" s="2124"/>
      <c r="P31" s="3513"/>
      <c r="Q31" s="1558">
        <f t="shared" si="11"/>
        <v>111</v>
      </c>
      <c r="R31" s="1559" t="s">
        <v>8</v>
      </c>
      <c r="S31" s="1560">
        <f t="shared" si="12"/>
        <v>100</v>
      </c>
      <c r="T31" s="1559" t="s">
        <v>8</v>
      </c>
      <c r="U31" s="1560">
        <f t="shared" si="13"/>
        <v>100</v>
      </c>
      <c r="V31" s="1559" t="s">
        <v>8</v>
      </c>
      <c r="W31" s="1560">
        <f t="shared" si="14"/>
        <v>100</v>
      </c>
      <c r="X31" s="1553"/>
      <c r="Y31" s="3513"/>
      <c r="Z31" s="1561">
        <f t="shared" si="15"/>
        <v>111</v>
      </c>
      <c r="AA31" s="1562">
        <f t="shared" si="3"/>
        <v>1</v>
      </c>
      <c r="AB31" s="1562">
        <f t="shared" si="4"/>
        <v>1</v>
      </c>
      <c r="AC31" s="1562">
        <f t="shared" si="5"/>
        <v>1</v>
      </c>
    </row>
    <row r="32" spans="1:29" ht="15">
      <c r="A32" s="2860" t="s">
        <v>2751</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5"/>
      <c r="M32" s="2117"/>
      <c r="N32" s="2117"/>
      <c r="O32" s="2124"/>
      <c r="P32" s="3514" t="s">
        <v>550</v>
      </c>
      <c r="Q32" s="1558" t="str">
        <f t="shared" si="11"/>
        <v>商业类型</v>
      </c>
      <c r="R32" s="1559" t="s">
        <v>8</v>
      </c>
      <c r="S32" s="1560">
        <f t="shared" si="12"/>
        <v>100</v>
      </c>
      <c r="T32" s="1559" t="s">
        <v>8</v>
      </c>
      <c r="U32" s="1560">
        <f t="shared" si="13"/>
        <v>100</v>
      </c>
      <c r="V32" s="1559" t="s">
        <v>8</v>
      </c>
      <c r="W32" s="1560">
        <f t="shared" si="14"/>
        <v>100</v>
      </c>
      <c r="X32" s="1553"/>
      <c r="Y32" s="3515" t="s">
        <v>550</v>
      </c>
      <c r="Z32" s="1561" t="str">
        <f t="shared" si="15"/>
        <v>商业类型</v>
      </c>
      <c r="AA32" s="1562">
        <f t="shared" si="3"/>
        <v>1</v>
      </c>
      <c r="AB32" s="1562">
        <f t="shared" si="4"/>
        <v>1</v>
      </c>
      <c r="AC32" s="1562">
        <f t="shared" si="5"/>
        <v>1</v>
      </c>
    </row>
    <row r="33" spans="1:29" s="1335" customFormat="1" ht="15">
      <c r="A33" s="603"/>
      <c r="B33" s="527" t="s">
        <v>726</v>
      </c>
      <c r="C33" s="880"/>
      <c r="D33" s="255">
        <v>100</v>
      </c>
      <c r="E33" s="534"/>
      <c r="F33" s="863">
        <f>LOOKUP(E33,103:103,104:104)-LOOKUP(C33,103:103,104:104)+100</f>
        <v>100</v>
      </c>
      <c r="G33" s="533"/>
      <c r="H33" s="255">
        <f>LOOKUP(G33,103:103,104:104)-LOOKUP(C33,103:103,104:104)+100</f>
        <v>100</v>
      </c>
      <c r="I33" s="533"/>
      <c r="J33" s="255">
        <f>LOOKUP(I33,103:103,104:104)-LOOKUP(C33,103:103,104:104)+100</f>
        <v>100</v>
      </c>
      <c r="K33" s="581"/>
      <c r="L33" s="2123"/>
      <c r="M33" s="2154"/>
      <c r="N33" s="2154"/>
      <c r="O33" s="2126"/>
      <c r="P33" s="3515"/>
      <c r="Q33" s="1590" t="str">
        <f t="shared" si="11"/>
        <v>项目建筑规模</v>
      </c>
      <c r="R33" s="1563" t="s">
        <v>8</v>
      </c>
      <c r="S33" s="1564">
        <f t="shared" si="12"/>
        <v>100</v>
      </c>
      <c r="T33" s="1563" t="s">
        <v>8</v>
      </c>
      <c r="U33" s="1564">
        <f t="shared" si="13"/>
        <v>100</v>
      </c>
      <c r="V33" s="1563" t="s">
        <v>8</v>
      </c>
      <c r="W33" s="1564">
        <f t="shared" si="14"/>
        <v>100</v>
      </c>
      <c r="X33" s="1565"/>
      <c r="Y33" s="3515"/>
      <c r="Z33" s="1566" t="str">
        <f t="shared" si="15"/>
        <v>项目建筑规模</v>
      </c>
      <c r="AA33" s="1562">
        <f t="shared" si="3"/>
        <v>1</v>
      </c>
      <c r="AB33" s="1562">
        <f t="shared" si="4"/>
        <v>1</v>
      </c>
      <c r="AC33" s="1562">
        <f t="shared" si="5"/>
        <v>1</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5"/>
      <c r="M34" s="2117"/>
      <c r="N34" s="2117"/>
      <c r="O34" s="2124"/>
      <c r="P34" s="3515"/>
      <c r="Q34" s="1558" t="str">
        <f t="shared" si="11"/>
        <v>建筑结构</v>
      </c>
      <c r="R34" s="1559" t="s">
        <v>8</v>
      </c>
      <c r="S34" s="1560">
        <f t="shared" si="12"/>
        <v>100</v>
      </c>
      <c r="T34" s="1559" t="s">
        <v>8</v>
      </c>
      <c r="U34" s="1560">
        <f t="shared" si="13"/>
        <v>100</v>
      </c>
      <c r="V34" s="1559" t="s">
        <v>8</v>
      </c>
      <c r="W34" s="1560">
        <f t="shared" si="14"/>
        <v>100</v>
      </c>
      <c r="X34" s="1553"/>
      <c r="Y34" s="3515"/>
      <c r="Z34" s="1561" t="str">
        <f t="shared" si="15"/>
        <v>建筑结构</v>
      </c>
      <c r="AA34" s="1562">
        <f t="shared" si="3"/>
        <v>1</v>
      </c>
      <c r="AB34" s="1562">
        <f t="shared" si="4"/>
        <v>1</v>
      </c>
      <c r="AC34" s="1562">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5"/>
      <c r="M35" s="2117"/>
      <c r="N35" s="2117"/>
      <c r="O35" s="2124"/>
      <c r="P35" s="3515"/>
      <c r="Q35" s="1558" t="str">
        <f t="shared" si="11"/>
        <v>公共部分装修</v>
      </c>
      <c r="R35" s="1559" t="s">
        <v>8</v>
      </c>
      <c r="S35" s="1560">
        <f t="shared" si="12"/>
        <v>100</v>
      </c>
      <c r="T35" s="1559" t="s">
        <v>8</v>
      </c>
      <c r="U35" s="1560">
        <f t="shared" si="13"/>
        <v>100</v>
      </c>
      <c r="V35" s="1559" t="s">
        <v>8</v>
      </c>
      <c r="W35" s="1560">
        <f t="shared" si="14"/>
        <v>100</v>
      </c>
      <c r="X35" s="1553"/>
      <c r="Y35" s="3515"/>
      <c r="Z35" s="1561" t="str">
        <f t="shared" si="15"/>
        <v>公共部分装修</v>
      </c>
      <c r="AA35" s="1562">
        <f t="shared" si="3"/>
        <v>1</v>
      </c>
      <c r="AB35" s="1562">
        <f t="shared" si="4"/>
        <v>1</v>
      </c>
      <c r="AC35" s="1562">
        <f t="shared" si="5"/>
        <v>1</v>
      </c>
    </row>
    <row r="36" spans="1:29" ht="15">
      <c r="A36" s="594"/>
      <c r="B36" s="527" t="s">
        <v>764</v>
      </c>
      <c r="C36" s="883">
        <v>1</v>
      </c>
      <c r="D36" s="540">
        <v>100</v>
      </c>
      <c r="E36" s="883">
        <f>C36</f>
        <v>1</v>
      </c>
      <c r="F36" s="575">
        <f>LOOKUP(E36,110:110,111:111)-LOOKUP(C36,110:110,111:111)+100</f>
        <v>100</v>
      </c>
      <c r="G36" s="883">
        <f>C36</f>
        <v>1</v>
      </c>
      <c r="H36" s="575">
        <f>LOOKUP(G36,110:110,111:111)-LOOKUP(C36,110:110,111:111)+100</f>
        <v>100</v>
      </c>
      <c r="I36" s="883">
        <f>C36</f>
        <v>1</v>
      </c>
      <c r="J36" s="540">
        <f>LOOKUP(I36,110:110,111:111)-LOOKUP(C36,110:110,111:111)+100</f>
        <v>100</v>
      </c>
      <c r="K36" s="584"/>
      <c r="L36" s="2125"/>
      <c r="M36" s="2117"/>
      <c r="N36" s="2117"/>
      <c r="O36" s="2124"/>
      <c r="P36" s="3515"/>
      <c r="Q36" s="1558" t="str">
        <f t="shared" si="11"/>
        <v>成新度</v>
      </c>
      <c r="R36" s="1559" t="s">
        <v>8</v>
      </c>
      <c r="S36" s="1560">
        <f t="shared" si="12"/>
        <v>100</v>
      </c>
      <c r="T36" s="1559" t="s">
        <v>8</v>
      </c>
      <c r="U36" s="1560">
        <f t="shared" si="13"/>
        <v>100</v>
      </c>
      <c r="V36" s="1559" t="s">
        <v>8</v>
      </c>
      <c r="W36" s="1560">
        <f t="shared" si="14"/>
        <v>100</v>
      </c>
      <c r="X36" s="1553"/>
      <c r="Y36" s="3515"/>
      <c r="Z36" s="1561" t="str">
        <f t="shared" si="15"/>
        <v>成新度</v>
      </c>
      <c r="AA36" s="1562">
        <f t="shared" si="3"/>
        <v>1</v>
      </c>
      <c r="AB36" s="1562">
        <f t="shared" si="4"/>
        <v>1</v>
      </c>
      <c r="AC36" s="1562">
        <f t="shared" si="5"/>
        <v>1</v>
      </c>
    </row>
    <row r="37" spans="1:29" s="1216" customFormat="1" ht="15">
      <c r="A37" s="600"/>
      <c r="B37" s="1878"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8"/>
      <c r="M37" s="2119"/>
      <c r="N37" s="2119"/>
      <c r="O37" s="2120"/>
      <c r="P37" s="3515"/>
      <c r="Q37" s="1147" t="str">
        <f t="shared" si="11"/>
        <v>市政基础设施</v>
      </c>
      <c r="R37" s="1554" t="s">
        <v>8</v>
      </c>
      <c r="S37" s="1555">
        <f t="shared" si="12"/>
        <v>100</v>
      </c>
      <c r="T37" s="1554" t="s">
        <v>8</v>
      </c>
      <c r="U37" s="1555">
        <f t="shared" si="13"/>
        <v>100</v>
      </c>
      <c r="V37" s="1554" t="s">
        <v>8</v>
      </c>
      <c r="W37" s="1555">
        <f t="shared" si="14"/>
        <v>100</v>
      </c>
      <c r="X37" s="1556"/>
      <c r="Y37" s="3515"/>
      <c r="Z37" s="1146" t="str">
        <f t="shared" si="15"/>
        <v>市政基础设施</v>
      </c>
      <c r="AA37" s="1557">
        <f t="shared" si="3"/>
        <v>1</v>
      </c>
      <c r="AB37" s="1557">
        <f t="shared" si="4"/>
        <v>1</v>
      </c>
      <c r="AC37" s="155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5"/>
      <c r="M38" s="2117"/>
      <c r="N38" s="2117"/>
      <c r="O38" s="2124"/>
      <c r="P38" s="3515" t="s">
        <v>766</v>
      </c>
      <c r="Q38" s="1558" t="str">
        <f t="shared" si="11"/>
        <v>业态</v>
      </c>
      <c r="R38" s="1559" t="s">
        <v>8</v>
      </c>
      <c r="S38" s="1560">
        <f t="shared" si="12"/>
        <v>100</v>
      </c>
      <c r="T38" s="1559" t="s">
        <v>8</v>
      </c>
      <c r="U38" s="1560">
        <f t="shared" si="13"/>
        <v>100</v>
      </c>
      <c r="V38" s="1559" t="s">
        <v>8</v>
      </c>
      <c r="W38" s="1560">
        <f t="shared" si="14"/>
        <v>100</v>
      </c>
      <c r="X38" s="1553"/>
      <c r="Y38" s="3515" t="s">
        <v>766</v>
      </c>
      <c r="Z38" s="1561" t="str">
        <f t="shared" si="15"/>
        <v>业态</v>
      </c>
      <c r="AA38" s="1562">
        <f t="shared" si="3"/>
        <v>1</v>
      </c>
      <c r="AB38" s="1562">
        <f t="shared" si="4"/>
        <v>1</v>
      </c>
      <c r="AC38" s="156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5"/>
      <c r="M39" s="2117"/>
      <c r="N39" s="2117"/>
      <c r="O39" s="2124"/>
      <c r="P39" s="3515"/>
      <c r="Q39" s="1558" t="str">
        <f t="shared" si="11"/>
        <v>层高</v>
      </c>
      <c r="R39" s="1559" t="s">
        <v>8</v>
      </c>
      <c r="S39" s="1560">
        <f t="shared" si="12"/>
        <v>100</v>
      </c>
      <c r="T39" s="1559" t="s">
        <v>8</v>
      </c>
      <c r="U39" s="1560">
        <f t="shared" si="13"/>
        <v>100</v>
      </c>
      <c r="V39" s="1559" t="s">
        <v>8</v>
      </c>
      <c r="W39" s="1560">
        <f t="shared" si="14"/>
        <v>100</v>
      </c>
      <c r="X39" s="1553"/>
      <c r="Y39" s="3515"/>
      <c r="Z39" s="1561" t="str">
        <f t="shared" si="15"/>
        <v>层高</v>
      </c>
      <c r="AA39" s="1562">
        <f t="shared" si="3"/>
        <v>1</v>
      </c>
      <c r="AB39" s="1562">
        <f t="shared" si="4"/>
        <v>1</v>
      </c>
      <c r="AC39" s="1562">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5"/>
      <c r="M40" s="2117"/>
      <c r="N40" s="2117"/>
      <c r="O40" s="2124"/>
      <c r="P40" s="3515"/>
      <c r="Q40" s="1558" t="str">
        <f t="shared" si="11"/>
        <v>单套建筑面积</v>
      </c>
      <c r="R40" s="1559" t="s">
        <v>8</v>
      </c>
      <c r="S40" s="1560">
        <f t="shared" si="12"/>
        <v>100</v>
      </c>
      <c r="T40" s="1559" t="s">
        <v>8</v>
      </c>
      <c r="U40" s="1560">
        <f t="shared" si="13"/>
        <v>100</v>
      </c>
      <c r="V40" s="1559" t="s">
        <v>8</v>
      </c>
      <c r="W40" s="1560">
        <f t="shared" si="14"/>
        <v>100</v>
      </c>
      <c r="X40" s="1553"/>
      <c r="Y40" s="3515"/>
      <c r="Z40" s="1561" t="str">
        <f t="shared" si="15"/>
        <v>单套建筑面积</v>
      </c>
      <c r="AA40" s="1562">
        <f t="shared" si="3"/>
        <v>1</v>
      </c>
      <c r="AB40" s="1562">
        <f t="shared" si="4"/>
        <v>1</v>
      </c>
      <c r="AC40" s="1562">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3"/>
      <c r="M41" s="2154"/>
      <c r="N41" s="2154"/>
      <c r="O41" s="2126"/>
      <c r="P41" s="3515"/>
      <c r="Q41" s="1590" t="str">
        <f t="shared" si="11"/>
        <v>进深比</v>
      </c>
      <c r="R41" s="1563" t="s">
        <v>8</v>
      </c>
      <c r="S41" s="1564">
        <f t="shared" si="12"/>
        <v>100</v>
      </c>
      <c r="T41" s="1563" t="s">
        <v>8</v>
      </c>
      <c r="U41" s="1564">
        <f t="shared" si="13"/>
        <v>100</v>
      </c>
      <c r="V41" s="1563" t="s">
        <v>8</v>
      </c>
      <c r="W41" s="1564">
        <f t="shared" si="14"/>
        <v>100</v>
      </c>
      <c r="X41" s="1565"/>
      <c r="Y41" s="3515"/>
      <c r="Z41" s="1566" t="str">
        <f t="shared" si="15"/>
        <v>进深比</v>
      </c>
      <c r="AA41" s="1562">
        <f t="shared" si="3"/>
        <v>1</v>
      </c>
      <c r="AB41" s="1562">
        <f t="shared" si="4"/>
        <v>1</v>
      </c>
      <c r="AC41" s="1562">
        <f t="shared" si="5"/>
        <v>1</v>
      </c>
    </row>
    <row r="42" spans="1:29" ht="15">
      <c r="A42" s="594"/>
      <c r="B42" s="527" t="s">
        <v>770</v>
      </c>
      <c r="C42" s="599" t="s">
        <v>3323</v>
      </c>
      <c r="D42" s="540">
        <v>100</v>
      </c>
      <c r="E42" s="599" t="s">
        <v>3323</v>
      </c>
      <c r="F42" s="575">
        <f>SUMIF(122:122,E42,123:123)-SUMIF(122:122,C42,123:123)+100</f>
        <v>100</v>
      </c>
      <c r="G42" s="599" t="s">
        <v>3323</v>
      </c>
      <c r="H42" s="540">
        <f>SUMIF(122:122,G42,123:123)-SUMIF(122:122,C42,123:123)+100</f>
        <v>100</v>
      </c>
      <c r="I42" s="599" t="s">
        <v>3323</v>
      </c>
      <c r="J42" s="540">
        <f>SUMIF(122:122,I42,123:123)-SUMIF(122:122,C42,123:123)+100</f>
        <v>100</v>
      </c>
      <c r="K42" s="584"/>
      <c r="L42" s="2125"/>
      <c r="M42" s="2117"/>
      <c r="N42" s="2117"/>
      <c r="O42" s="2124"/>
      <c r="P42" s="3515"/>
      <c r="Q42" s="1558" t="str">
        <f t="shared" si="11"/>
        <v>内部装修</v>
      </c>
      <c r="R42" s="1559" t="s">
        <v>8</v>
      </c>
      <c r="S42" s="1560">
        <f t="shared" si="12"/>
        <v>100</v>
      </c>
      <c r="T42" s="1559" t="s">
        <v>8</v>
      </c>
      <c r="U42" s="1560">
        <f t="shared" si="13"/>
        <v>100</v>
      </c>
      <c r="V42" s="1559" t="s">
        <v>8</v>
      </c>
      <c r="W42" s="1560">
        <f t="shared" si="14"/>
        <v>100</v>
      </c>
      <c r="X42" s="1553"/>
      <c r="Y42" s="3515"/>
      <c r="Z42" s="1561" t="str">
        <f t="shared" si="15"/>
        <v>内部装修</v>
      </c>
      <c r="AA42" s="1562">
        <f t="shared" si="3"/>
        <v>1</v>
      </c>
      <c r="AB42" s="1562">
        <f t="shared" si="4"/>
        <v>1</v>
      </c>
      <c r="AC42" s="1562">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5"/>
      <c r="M43" s="2117"/>
      <c r="N43" s="2117"/>
      <c r="O43" s="2124"/>
      <c r="P43" s="3515"/>
      <c r="Q43" s="1558" t="str">
        <f t="shared" si="11"/>
        <v>内部装修维护情况</v>
      </c>
      <c r="R43" s="1559" t="s">
        <v>8</v>
      </c>
      <c r="S43" s="1560">
        <f t="shared" si="12"/>
        <v>100</v>
      </c>
      <c r="T43" s="1559" t="s">
        <v>8</v>
      </c>
      <c r="U43" s="1560">
        <f t="shared" si="13"/>
        <v>100</v>
      </c>
      <c r="V43" s="1559" t="s">
        <v>8</v>
      </c>
      <c r="W43" s="1560">
        <f t="shared" si="14"/>
        <v>100</v>
      </c>
      <c r="X43" s="1553"/>
      <c r="Y43" s="3515"/>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18"/>
      <c r="M44" s="2119"/>
      <c r="N44" s="2119"/>
      <c r="O44" s="2120"/>
      <c r="P44" s="3515"/>
      <c r="Q44" s="1147">
        <f t="shared" si="11"/>
        <v>111</v>
      </c>
      <c r="R44" s="1554" t="s">
        <v>8</v>
      </c>
      <c r="S44" s="1555">
        <f t="shared" si="12"/>
        <v>100</v>
      </c>
      <c r="T44" s="1554" t="s">
        <v>8</v>
      </c>
      <c r="U44" s="1555">
        <f t="shared" si="13"/>
        <v>100</v>
      </c>
      <c r="V44" s="1554" t="s">
        <v>8</v>
      </c>
      <c r="W44" s="1555">
        <f t="shared" si="14"/>
        <v>100</v>
      </c>
      <c r="X44" s="1556"/>
      <c r="Y44" s="3515"/>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5"/>
      <c r="M45" s="2117"/>
      <c r="N45" s="2117"/>
      <c r="O45" s="2124"/>
      <c r="P45" s="3515"/>
      <c r="Q45" s="1558">
        <f t="shared" si="11"/>
        <v>111</v>
      </c>
      <c r="R45" s="1559" t="s">
        <v>8</v>
      </c>
      <c r="S45" s="1560">
        <f t="shared" si="12"/>
        <v>100</v>
      </c>
      <c r="T45" s="1559" t="s">
        <v>8</v>
      </c>
      <c r="U45" s="1560">
        <f t="shared" si="13"/>
        <v>100</v>
      </c>
      <c r="V45" s="1559" t="s">
        <v>8</v>
      </c>
      <c r="W45" s="1560">
        <f t="shared" si="14"/>
        <v>100</v>
      </c>
      <c r="X45" s="1553"/>
      <c r="Y45" s="3515"/>
      <c r="Z45" s="1561">
        <f t="shared" si="15"/>
        <v>111</v>
      </c>
      <c r="AA45" s="1562">
        <f t="shared" si="3"/>
        <v>1</v>
      </c>
      <c r="AB45" s="1562">
        <f t="shared" si="4"/>
        <v>1</v>
      </c>
      <c r="AC45" s="1562">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5"/>
      <c r="M46" s="2117"/>
      <c r="N46" s="2117"/>
      <c r="O46" s="2124"/>
      <c r="P46" s="3594"/>
      <c r="Q46" s="1558">
        <f t="shared" si="11"/>
        <v>111</v>
      </c>
      <c r="R46" s="1559" t="s">
        <v>8</v>
      </c>
      <c r="S46" s="1560">
        <f t="shared" si="12"/>
        <v>100</v>
      </c>
      <c r="T46" s="1559" t="s">
        <v>8</v>
      </c>
      <c r="U46" s="1560">
        <f t="shared" si="13"/>
        <v>100</v>
      </c>
      <c r="V46" s="1559" t="s">
        <v>8</v>
      </c>
      <c r="W46" s="1560">
        <f t="shared" si="14"/>
        <v>100</v>
      </c>
      <c r="X46" s="1553"/>
      <c r="Y46" s="3594"/>
      <c r="Z46" s="1561">
        <f t="shared" si="15"/>
        <v>111</v>
      </c>
      <c r="AA46" s="1562">
        <f t="shared" si="3"/>
        <v>1</v>
      </c>
      <c r="AB46" s="1562">
        <f t="shared" si="4"/>
        <v>1</v>
      </c>
      <c r="AC46" s="1562">
        <f t="shared" si="5"/>
        <v>1</v>
      </c>
    </row>
    <row r="47" spans="1:29" ht="14.4">
      <c r="A47" s="607" t="s">
        <v>736</v>
      </c>
      <c r="B47" s="887"/>
      <c r="C47" s="2589" t="s">
        <v>1</v>
      </c>
      <c r="D47" s="2590"/>
      <c r="E47" s="2591">
        <v>13700</v>
      </c>
      <c r="F47" s="2592"/>
      <c r="G47" s="2593">
        <v>12500</v>
      </c>
      <c r="H47" s="2594"/>
      <c r="I47" s="2591">
        <v>11500</v>
      </c>
      <c r="J47" s="2594"/>
      <c r="K47" s="1596"/>
      <c r="L47" s="2127"/>
      <c r="M47" s="2128"/>
      <c r="N47" s="2117"/>
      <c r="O47" s="2128"/>
      <c r="P47" s="3510" t="str">
        <f>A47</f>
        <v>成交单价（元/平方米）</v>
      </c>
      <c r="Q47" s="3510"/>
      <c r="R47" s="3593">
        <f>E47</f>
        <v>13700</v>
      </c>
      <c r="S47" s="3593"/>
      <c r="T47" s="3593">
        <f>G47</f>
        <v>12500</v>
      </c>
      <c r="U47" s="3593"/>
      <c r="V47" s="3593">
        <f>I47</f>
        <v>11500</v>
      </c>
      <c r="W47" s="3593"/>
      <c r="X47" s="1545"/>
      <c r="Y47" s="1567"/>
      <c r="Z47" s="1545"/>
      <c r="AA47" s="1545"/>
      <c r="AB47" s="1545"/>
      <c r="AC47" s="1545"/>
    </row>
    <row r="48" spans="1:29" ht="15" thickBot="1">
      <c r="A48" s="615" t="s">
        <v>2756</v>
      </c>
      <c r="B48" s="888"/>
      <c r="C48" s="2595">
        <f>R49</f>
        <v>12567</v>
      </c>
      <c r="D48" s="2596"/>
      <c r="E48" s="2597">
        <f>R48</f>
        <v>13700</v>
      </c>
      <c r="F48" s="2597"/>
      <c r="G48" s="2595">
        <f>T48</f>
        <v>12500</v>
      </c>
      <c r="H48" s="2596"/>
      <c r="I48" s="2597">
        <f>V48</f>
        <v>11500</v>
      </c>
      <c r="J48" s="2596"/>
      <c r="K48" s="1597"/>
      <c r="L48" s="2127"/>
      <c r="M48" s="2128"/>
      <c r="N48" s="2117"/>
      <c r="O48" s="2128"/>
      <c r="P48" s="3510" t="str">
        <f>A48</f>
        <v>比较价格（元/平方米）</v>
      </c>
      <c r="Q48" s="3510"/>
      <c r="R48" s="3593">
        <f>IF(F1="售价",ROUND(PRODUCT(R47,AA7:AA46),0),ROUND(PRODUCT(R47,AA7:AA46),1))</f>
        <v>13700</v>
      </c>
      <c r="S48" s="3593"/>
      <c r="T48" s="3593">
        <f>IF(F1="售价",ROUND(PRODUCT(T47,AB7:AB46),0),ROUND(PRODUCT(T47,AB7:AB46),1))</f>
        <v>12500</v>
      </c>
      <c r="U48" s="3593"/>
      <c r="V48" s="3593">
        <f>IF(F1="售价",ROUND(PRODUCT(V47,AC7:AC46),0),ROUND(PRODUCT(V47,AC7:AC46),1))</f>
        <v>11500</v>
      </c>
      <c r="W48" s="3593"/>
      <c r="X48" s="1545"/>
      <c r="Y48" s="1545"/>
      <c r="Z48" s="1545"/>
      <c r="AA48" s="1545"/>
      <c r="AB48" s="1545"/>
      <c r="AC48" s="1545"/>
    </row>
    <row r="49" spans="1:29" ht="15" thickBot="1">
      <c r="A49" s="621" t="s">
        <v>2929</v>
      </c>
      <c r="B49" s="622"/>
      <c r="C49" s="2598">
        <f>R49</f>
        <v>12567</v>
      </c>
      <c r="D49" s="2598"/>
      <c r="E49" s="2598"/>
      <c r="F49" s="2598"/>
      <c r="G49" s="2598"/>
      <c r="H49" s="2598"/>
      <c r="I49" s="2598"/>
      <c r="J49" s="2598"/>
      <c r="K49" s="1598"/>
      <c r="L49" s="2127"/>
      <c r="M49" s="2128"/>
      <c r="N49" s="2117"/>
      <c r="O49" s="2128"/>
      <c r="P49" s="3531" t="str">
        <f>A49</f>
        <v>估价对象XX用房的比较价格（楼面单价，元/平方米）</v>
      </c>
      <c r="Q49" s="3532"/>
      <c r="R49" s="3592">
        <f>IF(F1="售价",ROUND(AVERAGE(R48:V48),0),ROUND(AVERAGE(R48:V48),1))</f>
        <v>12567</v>
      </c>
      <c r="S49" s="3592"/>
      <c r="T49" s="3592"/>
      <c r="U49" s="3592"/>
      <c r="V49" s="3592"/>
      <c r="W49" s="3592"/>
      <c r="X49" s="1545"/>
      <c r="Y49" s="1545"/>
      <c r="Z49" s="1545"/>
      <c r="AA49" s="1545"/>
      <c r="AB49" s="1545"/>
      <c r="AC49" s="1545"/>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4" t="s">
        <v>557</v>
      </c>
      <c r="D52" s="625"/>
      <c r="E52" s="626">
        <f>IF(E47&lt;E48,E48/E47-1,E47/E48-1)</f>
        <v>0</v>
      </c>
      <c r="F52" s="627" t="str">
        <f>IF(OR(E52&gt;=0.3,E52&lt;=-0.3),"超过30%","")</f>
        <v/>
      </c>
      <c r="G52" s="626">
        <f>IF(G47&lt;G48,G48/G47-1,G47/G48-1)</f>
        <v>0</v>
      </c>
      <c r="H52" s="627" t="str">
        <f>IF(OR(G52&gt;=0.3,G52&lt;=-0.3),"超过30%","")</f>
        <v/>
      </c>
      <c r="I52" s="626">
        <f>IF(I47&lt;I48,I48/I47-1,I47/I48-1)</f>
        <v>0</v>
      </c>
      <c r="J52" s="627"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4" t="s">
        <v>558</v>
      </c>
      <c r="D53" s="628"/>
      <c r="E53" s="626">
        <f>IF(E48&lt;G48,G48/E48-1,E48/G48-1)</f>
        <v>9.6000000000000085E-2</v>
      </c>
      <c r="F53" s="627" t="str">
        <f>IF(OR(E53&gt;=0.2,E53&lt;=-0.2),"超过20%","")</f>
        <v/>
      </c>
      <c r="G53" s="626">
        <f>IF(G48&lt;I48,I48/G48-1,G48/I48-1)</f>
        <v>8.6956521739130377E-2</v>
      </c>
      <c r="H53" s="627" t="str">
        <f>IF(OR(G53&gt;=0.2,G53&lt;=-0.2),"超过20%","")</f>
        <v/>
      </c>
      <c r="I53" s="626">
        <f>IF(I48&lt;E48,E48/I48-1,I48/E48-1)</f>
        <v>0.19130434782608696</v>
      </c>
      <c r="J53" s="627"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41" customFormat="1" ht="13.5" customHeight="1">
      <c r="A54" s="2129"/>
      <c r="B54" s="2129"/>
      <c r="C54" s="624" t="s">
        <v>559</v>
      </c>
      <c r="D54" s="628"/>
      <c r="E54" s="626">
        <f>IF(E47&lt;G47,G47/E47-1,E47/G47-1)</f>
        <v>9.6000000000000085E-2</v>
      </c>
      <c r="F54" s="627" t="str">
        <f>IF(OR(E54&gt;=0.3,E54&lt;=-0.3),"超过30%","")</f>
        <v/>
      </c>
      <c r="G54" s="626">
        <f>IF(G47&lt;I47,I47/G47-1,G47/I47-1)</f>
        <v>8.6956521739130377E-2</v>
      </c>
      <c r="H54" s="627" t="str">
        <f>IF(OR(G54&gt;=0.3,G54&lt;=-0.3),"超过30%","")</f>
        <v/>
      </c>
      <c r="I54" s="626">
        <f>IF(I47&lt;E47,E47/I47-1,I47/E47-1)</f>
        <v>0.19130434782608696</v>
      </c>
      <c r="J54" s="627"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41"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2.2" thickBot="1">
      <c r="A57" s="1570" t="s">
        <v>574</v>
      </c>
      <c r="B57" s="1545"/>
      <c r="C57" s="1569"/>
      <c r="D57" s="1569"/>
      <c r="E57" s="1569"/>
      <c r="F57" s="1571"/>
      <c r="G57" s="1571"/>
      <c r="H57" s="1569"/>
      <c r="I57" s="1569"/>
      <c r="J57" s="1569"/>
      <c r="K57" s="1572"/>
      <c r="L57" s="1568"/>
      <c r="M57" s="1569"/>
      <c r="N57" s="1569"/>
      <c r="O57" s="1569"/>
      <c r="P57" s="2140"/>
      <c r="Q57" s="2141"/>
      <c r="R57" s="2128"/>
      <c r="S57" s="2128"/>
      <c r="T57" s="2128"/>
      <c r="U57" s="2128"/>
      <c r="V57" s="2128"/>
      <c r="W57" s="2128"/>
      <c r="X57" s="2128"/>
      <c r="Y57" s="2128"/>
      <c r="Z57" s="2128"/>
      <c r="AA57" s="2128"/>
      <c r="AB57" s="2128"/>
      <c r="AC57" s="2128"/>
    </row>
    <row r="58" spans="1:29" s="1343" customFormat="1" ht="14.4">
      <c r="A58" s="645" t="s">
        <v>529</v>
      </c>
      <c r="B58" s="646"/>
      <c r="C58" s="2755" t="str">
        <f>YEAR(C7)&amp;"-"&amp;MONTH(C7)</f>
        <v>2020-2</v>
      </c>
      <c r="D58" s="2757">
        <f>EDATE(C58,-1)</f>
        <v>43831</v>
      </c>
      <c r="E58" s="2757">
        <f t="shared" ref="E58:O58" si="16">EDATE(D58,-1)</f>
        <v>43800</v>
      </c>
      <c r="F58" s="2757">
        <f t="shared" si="16"/>
        <v>43770</v>
      </c>
      <c r="G58" s="2757">
        <f t="shared" si="16"/>
        <v>43739</v>
      </c>
      <c r="H58" s="2757">
        <f t="shared" si="16"/>
        <v>43709</v>
      </c>
      <c r="I58" s="2757">
        <f t="shared" si="16"/>
        <v>43678</v>
      </c>
      <c r="J58" s="2757">
        <f t="shared" si="16"/>
        <v>43647</v>
      </c>
      <c r="K58" s="2757">
        <f t="shared" si="16"/>
        <v>43617</v>
      </c>
      <c r="L58" s="2757">
        <f t="shared" si="16"/>
        <v>43586</v>
      </c>
      <c r="M58" s="2757">
        <f t="shared" si="16"/>
        <v>43556</v>
      </c>
      <c r="N58" s="2757">
        <f t="shared" si="16"/>
        <v>43525</v>
      </c>
      <c r="O58" s="2757">
        <f t="shared" si="16"/>
        <v>43497</v>
      </c>
      <c r="P58" s="2143"/>
      <c r="Q58" s="2144"/>
      <c r="R58" s="2144"/>
      <c r="S58" s="2144"/>
      <c r="T58" s="2144"/>
      <c r="U58" s="2144"/>
      <c r="V58" s="2144"/>
      <c r="W58" s="2144"/>
      <c r="X58" s="2144"/>
      <c r="Y58" s="2144"/>
      <c r="Z58" s="2144"/>
      <c r="AA58" s="2144"/>
      <c r="AB58" s="2144"/>
      <c r="AC58" s="2144"/>
    </row>
    <row r="59" spans="1:29" s="1216" customFormat="1">
      <c r="A59" s="647"/>
      <c r="B59" s="648"/>
      <c r="C59" s="649">
        <v>100</v>
      </c>
      <c r="D59" s="650"/>
      <c r="E59" s="650"/>
      <c r="F59" s="650"/>
      <c r="G59" s="650"/>
      <c r="H59" s="650"/>
      <c r="I59" s="650"/>
      <c r="J59" s="650"/>
      <c r="K59" s="650"/>
      <c r="L59" s="650"/>
      <c r="M59" s="651"/>
      <c r="N59" s="650"/>
      <c r="O59" s="652"/>
      <c r="P59" s="2141"/>
      <c r="Q59" s="1976"/>
      <c r="R59" s="1976"/>
      <c r="S59" s="1976"/>
      <c r="T59" s="1976"/>
      <c r="U59" s="1976"/>
      <c r="V59" s="1976"/>
      <c r="W59" s="1976"/>
      <c r="X59" s="1976"/>
      <c r="Y59" s="1976"/>
      <c r="Z59" s="1976"/>
      <c r="AA59" s="1976"/>
      <c r="AB59" s="1976"/>
      <c r="AC59" s="1976"/>
    </row>
    <row r="60" spans="1:29" s="1216" customFormat="1" ht="15" thickBot="1">
      <c r="A60" s="653" t="s">
        <v>575</v>
      </c>
      <c r="B60" s="654"/>
      <c r="C60" s="655"/>
      <c r="D60" s="656"/>
      <c r="E60" s="656"/>
      <c r="F60" s="656"/>
      <c r="G60" s="656"/>
      <c r="H60" s="656"/>
      <c r="I60" s="656"/>
      <c r="J60" s="656"/>
      <c r="K60" s="656"/>
      <c r="L60" s="656"/>
      <c r="M60" s="657"/>
      <c r="N60" s="656"/>
      <c r="O60" s="658"/>
      <c r="P60" s="2141"/>
      <c r="Q60" s="2141"/>
      <c r="R60" s="1976"/>
      <c r="S60" s="1976"/>
      <c r="T60" s="1976"/>
      <c r="U60" s="1976"/>
      <c r="V60" s="1976"/>
      <c r="W60" s="1976"/>
      <c r="X60" s="1976"/>
      <c r="Y60" s="1976"/>
      <c r="Z60" s="1976"/>
      <c r="AA60" s="1976"/>
      <c r="AB60" s="1976"/>
      <c r="AC60" s="1976"/>
    </row>
    <row r="61" spans="1:29" s="1216" customFormat="1" ht="14.4">
      <c r="A61" s="659" t="s">
        <v>531</v>
      </c>
      <c r="B61" s="648"/>
      <c r="C61" s="660" t="s">
        <v>576</v>
      </c>
      <c r="D61" s="661"/>
      <c r="E61" s="661"/>
      <c r="F61" s="661"/>
      <c r="G61" s="661"/>
      <c r="H61" s="661"/>
      <c r="I61" s="661"/>
      <c r="J61" s="661"/>
      <c r="K61" s="661"/>
      <c r="L61" s="662"/>
      <c r="M61" s="663"/>
      <c r="N61" s="2145"/>
      <c r="O61" s="2145"/>
      <c r="P61" s="2146"/>
      <c r="Q61" s="2141"/>
      <c r="R61" s="1976"/>
      <c r="S61" s="1976"/>
      <c r="T61" s="1976"/>
      <c r="U61" s="1976"/>
      <c r="V61" s="1976"/>
      <c r="W61" s="1976"/>
      <c r="X61" s="1976"/>
      <c r="Y61" s="1976"/>
      <c r="Z61" s="1976"/>
      <c r="AA61" s="1976"/>
      <c r="AB61" s="1976"/>
      <c r="AC61" s="1976"/>
    </row>
    <row r="62" spans="1:29" s="1216" customFormat="1" ht="14.4" thickBot="1">
      <c r="A62" s="659"/>
      <c r="B62" s="648"/>
      <c r="C62" s="889">
        <v>100</v>
      </c>
      <c r="D62" s="650"/>
      <c r="E62" s="650"/>
      <c r="F62" s="650"/>
      <c r="G62" s="650"/>
      <c r="H62" s="650"/>
      <c r="I62" s="650"/>
      <c r="J62" s="650"/>
      <c r="K62" s="650"/>
      <c r="L62" s="650"/>
      <c r="M62" s="652"/>
      <c r="N62" s="2145"/>
      <c r="O62" s="2145"/>
      <c r="P62" s="2141"/>
      <c r="Q62" s="2141"/>
      <c r="R62" s="1976"/>
      <c r="S62" s="1976"/>
      <c r="T62" s="1976"/>
      <c r="U62" s="1976"/>
      <c r="V62" s="1976"/>
      <c r="W62" s="1976"/>
      <c r="X62" s="1976"/>
      <c r="Y62" s="1976"/>
      <c r="Z62" s="1976"/>
      <c r="AA62" s="1976"/>
      <c r="AB62" s="1976"/>
      <c r="AC62" s="1201"/>
    </row>
    <row r="63" spans="1:29" ht="14.4">
      <c r="A63" s="664" t="s">
        <v>577</v>
      </c>
      <c r="B63" s="665" t="s">
        <v>534</v>
      </c>
      <c r="C63" s="704" t="str">
        <f>C9</f>
        <v>商业</v>
      </c>
      <c r="D63" s="598"/>
      <c r="E63" s="598"/>
      <c r="F63" s="598"/>
      <c r="G63" s="598"/>
      <c r="H63" s="598"/>
      <c r="I63" s="598"/>
      <c r="J63" s="598"/>
      <c r="K63" s="666"/>
      <c r="L63" s="667"/>
      <c r="M63" s="668"/>
      <c r="N63" s="2147"/>
      <c r="O63" s="2147"/>
      <c r="P63" s="2148"/>
      <c r="Q63" s="2141"/>
      <c r="R63" s="2128"/>
      <c r="S63" s="2128"/>
      <c r="T63" s="2128"/>
      <c r="U63" s="2128"/>
      <c r="V63" s="2128"/>
      <c r="W63" s="2128"/>
      <c r="X63" s="2128"/>
      <c r="Y63" s="2128"/>
      <c r="Z63" s="2128"/>
      <c r="AA63" s="2128"/>
      <c r="AB63" s="2128"/>
      <c r="AC63" s="2128"/>
    </row>
    <row r="64" spans="1:29" ht="14.4" thickBot="1">
      <c r="A64" s="669"/>
      <c r="B64" s="670"/>
      <c r="C64" s="671">
        <v>100</v>
      </c>
      <c r="D64" s="671"/>
      <c r="E64" s="671"/>
      <c r="F64" s="671"/>
      <c r="G64" s="671"/>
      <c r="H64" s="671"/>
      <c r="I64" s="671"/>
      <c r="J64" s="671"/>
      <c r="K64" s="671"/>
      <c r="L64" s="671"/>
      <c r="M64" s="672"/>
      <c r="N64" s="2149"/>
      <c r="O64" s="2149"/>
      <c r="P64" s="2148"/>
      <c r="Q64" s="2141"/>
      <c r="R64" s="2128"/>
      <c r="S64" s="2128"/>
      <c r="T64" s="2128"/>
      <c r="U64" s="2128"/>
      <c r="V64" s="2128"/>
      <c r="W64" s="2128"/>
      <c r="X64" s="2128"/>
      <c r="Y64" s="2128"/>
      <c r="Z64" s="2128"/>
      <c r="AA64" s="2128"/>
      <c r="AB64" s="2128"/>
      <c r="AC64" s="2128"/>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4.4" thickBot="1">
      <c r="A66" s="669"/>
      <c r="B66" s="678"/>
      <c r="C66" s="679" t="s">
        <v>14</v>
      </c>
      <c r="D66" s="679" t="s">
        <v>15</v>
      </c>
      <c r="E66" s="679" t="s">
        <v>16</v>
      </c>
      <c r="F66" s="679">
        <v>100</v>
      </c>
      <c r="G66" s="679">
        <f>F66-$K10</f>
        <v>98</v>
      </c>
      <c r="H66" s="679">
        <f>G66-$K10</f>
        <v>96</v>
      </c>
      <c r="I66" s="679">
        <f>H66-$K10</f>
        <v>94</v>
      </c>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 thickTop="1">
      <c r="A67" s="669"/>
      <c r="B67" s="681" t="s">
        <v>538</v>
      </c>
      <c r="C67" s="682" t="str">
        <f>C68&amp;"（含）"&amp;"-"&amp;D68</f>
        <v>0（含）-1</v>
      </c>
      <c r="D67" s="682" t="str">
        <f t="shared" ref="D67:L67" si="17">D68&amp;"（含）"&amp;"-"&amp;E68</f>
        <v>1（含）-2</v>
      </c>
      <c r="E67" s="682" t="str">
        <f t="shared" si="17"/>
        <v>2（含）-3</v>
      </c>
      <c r="F67" s="682" t="str">
        <f t="shared" si="17"/>
        <v>3（含）-4</v>
      </c>
      <c r="G67" s="682" t="str">
        <f t="shared" si="17"/>
        <v>4（含）-5</v>
      </c>
      <c r="H67" s="682" t="str">
        <f t="shared" si="17"/>
        <v>5（含）-</v>
      </c>
      <c r="I67" s="682" t="str">
        <f t="shared" si="17"/>
        <v>（含）-</v>
      </c>
      <c r="J67" s="682" t="str">
        <f t="shared" si="17"/>
        <v>（含）-</v>
      </c>
      <c r="K67" s="682" t="str">
        <f t="shared" si="17"/>
        <v>（含）-</v>
      </c>
      <c r="L67" s="682" t="str">
        <f t="shared" si="17"/>
        <v>（含）-</v>
      </c>
      <c r="M67" s="555" t="str">
        <f>M68&amp;"（含）"&amp;"-"&amp;P68</f>
        <v>（含）-</v>
      </c>
      <c r="N67" s="2149"/>
      <c r="O67" s="2149"/>
      <c r="P67" s="2148"/>
      <c r="Q67" s="2141"/>
      <c r="R67" s="2128"/>
      <c r="S67" s="2128"/>
      <c r="T67" s="2128"/>
      <c r="U67" s="2128"/>
      <c r="V67" s="2128"/>
      <c r="W67" s="2128"/>
      <c r="X67" s="2128"/>
      <c r="Y67" s="2128"/>
      <c r="Z67" s="2128"/>
      <c r="AA67" s="2128"/>
      <c r="AB67" s="2128"/>
      <c r="AC67" s="2128"/>
    </row>
    <row r="68" spans="1:29">
      <c r="A68" s="669"/>
      <c r="B68" s="683"/>
      <c r="C68" s="541">
        <v>0</v>
      </c>
      <c r="D68" s="541">
        <v>1</v>
      </c>
      <c r="E68" s="541">
        <v>2</v>
      </c>
      <c r="F68" s="541">
        <v>3</v>
      </c>
      <c r="G68" s="541">
        <v>4</v>
      </c>
      <c r="H68" s="541">
        <v>5</v>
      </c>
      <c r="I68" s="541"/>
      <c r="J68" s="541"/>
      <c r="K68" s="684"/>
      <c r="L68" s="685"/>
      <c r="M68" s="686"/>
      <c r="N68" s="2147"/>
      <c r="O68" s="2147"/>
      <c r="P68" s="2148"/>
      <c r="Q68" s="2141"/>
      <c r="R68" s="2128"/>
      <c r="S68" s="2128"/>
      <c r="T68" s="2128"/>
      <c r="U68" s="2128"/>
      <c r="V68" s="2128"/>
      <c r="W68" s="2128"/>
      <c r="X68" s="2128"/>
      <c r="Y68" s="2128"/>
      <c r="Z68" s="2128"/>
      <c r="AA68" s="2128"/>
      <c r="AB68" s="2128"/>
      <c r="AC68" s="2128"/>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49"/>
      <c r="O69" s="2149"/>
      <c r="P69" s="2148"/>
      <c r="Q69" s="2141"/>
      <c r="R69" s="2128"/>
      <c r="S69" s="2128"/>
      <c r="T69" s="2128"/>
      <c r="U69" s="2128"/>
      <c r="V69" s="2128"/>
      <c r="W69" s="2128"/>
      <c r="X69" s="2128"/>
      <c r="Y69" s="2128"/>
      <c r="Z69" s="2128"/>
      <c r="AA69" s="2128"/>
      <c r="AB69" s="2128"/>
      <c r="AC69" s="2128"/>
    </row>
    <row r="70" spans="1:29" s="1335" customFormat="1" ht="14.4" thickTop="1">
      <c r="A70" s="687"/>
      <c r="B70" s="673">
        <f>B12</f>
        <v>111</v>
      </c>
      <c r="C70" s="688"/>
      <c r="D70" s="688"/>
      <c r="E70" s="688"/>
      <c r="F70" s="688"/>
      <c r="G70" s="688"/>
      <c r="H70" s="689"/>
      <c r="I70" s="689"/>
      <c r="J70" s="689"/>
      <c r="K70" s="689"/>
      <c r="L70" s="690"/>
      <c r="M70" s="691"/>
      <c r="N70" s="2150"/>
      <c r="O70" s="2150"/>
      <c r="P70" s="2151"/>
      <c r="Q70" s="2152"/>
      <c r="R70" s="2153"/>
      <c r="S70" s="2153"/>
      <c r="T70" s="2153"/>
      <c r="U70" s="2153"/>
      <c r="V70" s="2153"/>
      <c r="W70" s="2153"/>
      <c r="X70" s="2153"/>
      <c r="Y70" s="2153"/>
      <c r="Z70" s="2153"/>
      <c r="AA70" s="2153"/>
      <c r="AB70" s="2153"/>
      <c r="AC70" s="2153"/>
    </row>
    <row r="71" spans="1:29" s="1335" customFormat="1" ht="14.4" thickBot="1">
      <c r="A71" s="687"/>
      <c r="B71" s="678"/>
      <c r="C71" s="692"/>
      <c r="D71" s="671"/>
      <c r="E71" s="671"/>
      <c r="F71" s="671"/>
      <c r="G71" s="671"/>
      <c r="H71" s="671"/>
      <c r="I71" s="671"/>
      <c r="J71" s="671"/>
      <c r="K71" s="671"/>
      <c r="L71" s="671"/>
      <c r="M71" s="672"/>
      <c r="N71" s="2149"/>
      <c r="O71" s="2149"/>
      <c r="P71" s="2151"/>
      <c r="Q71" s="2152"/>
      <c r="R71" s="2153"/>
      <c r="S71" s="2153"/>
      <c r="T71" s="2153"/>
      <c r="U71" s="2153"/>
      <c r="V71" s="2153"/>
      <c r="W71" s="2153"/>
      <c r="X71" s="2153"/>
      <c r="Y71" s="2153"/>
      <c r="Z71" s="2153"/>
      <c r="AA71" s="2153"/>
      <c r="AB71" s="2153"/>
      <c r="AC71" s="2153"/>
    </row>
    <row r="72" spans="1:29" s="1335" customFormat="1" ht="14.4" thickTop="1">
      <c r="A72" s="687"/>
      <c r="B72" s="673">
        <f>B13</f>
        <v>111</v>
      </c>
      <c r="C72" s="688"/>
      <c r="D72" s="688"/>
      <c r="E72" s="688"/>
      <c r="F72" s="688"/>
      <c r="G72" s="688"/>
      <c r="H72" s="689"/>
      <c r="I72" s="689"/>
      <c r="J72" s="689"/>
      <c r="K72" s="689"/>
      <c r="L72" s="690"/>
      <c r="M72" s="691"/>
      <c r="N72" s="2150"/>
      <c r="O72" s="2150"/>
      <c r="P72" s="2154"/>
      <c r="Q72" s="2155"/>
      <c r="R72" s="2153"/>
      <c r="S72" s="2153"/>
      <c r="T72" s="2153"/>
      <c r="U72" s="2153"/>
      <c r="V72" s="2153"/>
      <c r="W72" s="2153"/>
      <c r="X72" s="2153"/>
      <c r="Y72" s="2153"/>
      <c r="Z72" s="2153"/>
      <c r="AA72" s="2153"/>
      <c r="AB72" s="2153"/>
      <c r="AC72" s="2153"/>
    </row>
    <row r="73" spans="1:29" s="1335" customFormat="1" ht="14.4" thickBot="1">
      <c r="A73" s="687"/>
      <c r="B73" s="678"/>
      <c r="C73" s="692"/>
      <c r="D73" s="671"/>
      <c r="E73" s="671"/>
      <c r="F73" s="671"/>
      <c r="G73" s="692"/>
      <c r="H73" s="693"/>
      <c r="I73" s="693"/>
      <c r="J73" s="693"/>
      <c r="K73" s="693"/>
      <c r="L73" s="693"/>
      <c r="M73" s="694"/>
      <c r="N73" s="2150"/>
      <c r="O73" s="2150"/>
      <c r="P73" s="2151"/>
      <c r="Q73" s="2152"/>
      <c r="R73" s="2153"/>
      <c r="S73" s="2153"/>
      <c r="T73" s="2153"/>
      <c r="U73" s="2153"/>
      <c r="V73" s="2153"/>
      <c r="W73" s="2153"/>
      <c r="X73" s="2153"/>
      <c r="Y73" s="2153"/>
      <c r="Z73" s="2153"/>
      <c r="AA73" s="2153"/>
      <c r="AB73" s="2153"/>
      <c r="AC73" s="2153"/>
    </row>
    <row r="74" spans="1:29" s="1335" customFormat="1" ht="14.4" thickTop="1">
      <c r="A74" s="687"/>
      <c r="B74" s="681">
        <f>B14</f>
        <v>111</v>
      </c>
      <c r="C74" s="688"/>
      <c r="D74" s="688"/>
      <c r="E74" s="688"/>
      <c r="F74" s="688"/>
      <c r="G74" s="661"/>
      <c r="H74" s="695"/>
      <c r="I74" s="695"/>
      <c r="J74" s="695"/>
      <c r="K74" s="695"/>
      <c r="L74" s="696"/>
      <c r="M74" s="697"/>
      <c r="N74" s="2150"/>
      <c r="O74" s="2150"/>
      <c r="P74" s="2156"/>
      <c r="Q74" s="2152"/>
      <c r="R74" s="2153"/>
      <c r="S74" s="2153"/>
      <c r="T74" s="2153"/>
      <c r="U74" s="2153"/>
      <c r="V74" s="2153"/>
      <c r="W74" s="2153"/>
      <c r="X74" s="2153"/>
      <c r="Y74" s="2153"/>
      <c r="Z74" s="2153"/>
      <c r="AA74" s="2153"/>
      <c r="AB74" s="2153"/>
      <c r="AC74" s="2153"/>
    </row>
    <row r="75" spans="1:29" s="1335" customFormat="1" ht="14.4" thickBot="1">
      <c r="A75" s="698"/>
      <c r="B75" s="699"/>
      <c r="C75" s="700"/>
      <c r="D75" s="700"/>
      <c r="E75" s="700"/>
      <c r="F75" s="700"/>
      <c r="G75" s="700"/>
      <c r="H75" s="701"/>
      <c r="I75" s="701"/>
      <c r="J75" s="701"/>
      <c r="K75" s="701"/>
      <c r="L75" s="701"/>
      <c r="M75" s="702"/>
      <c r="N75" s="2150"/>
      <c r="O75" s="2150"/>
      <c r="P75" s="2151"/>
      <c r="Q75" s="2152"/>
      <c r="R75" s="2153"/>
      <c r="S75" s="2153"/>
      <c r="T75" s="2153"/>
      <c r="U75" s="2153"/>
      <c r="V75" s="2153"/>
      <c r="W75" s="2153"/>
      <c r="X75" s="2153"/>
      <c r="Y75" s="2153"/>
      <c r="Z75" s="2153"/>
      <c r="AA75" s="2153"/>
      <c r="AB75" s="2153"/>
      <c r="AC75" s="2153"/>
    </row>
    <row r="76" spans="1:29" ht="14.4">
      <c r="A76" s="664" t="s">
        <v>539</v>
      </c>
      <c r="B76" s="665" t="s">
        <v>578</v>
      </c>
      <c r="C76" s="703" t="s">
        <v>579</v>
      </c>
      <c r="D76" s="703" t="s">
        <v>580</v>
      </c>
      <c r="E76" s="703" t="s">
        <v>581</v>
      </c>
      <c r="F76" s="703" t="s">
        <v>582</v>
      </c>
      <c r="G76" s="703" t="s">
        <v>583</v>
      </c>
      <c r="H76" s="704"/>
      <c r="I76" s="704"/>
      <c r="J76" s="704"/>
      <c r="K76" s="705"/>
      <c r="L76" s="706"/>
      <c r="M76" s="707"/>
      <c r="N76" s="2147"/>
      <c r="O76" s="2147"/>
      <c r="P76" s="2157"/>
      <c r="Q76" s="2141"/>
      <c r="R76" s="2128"/>
      <c r="S76" s="2128"/>
      <c r="T76" s="2128"/>
      <c r="U76" s="2128"/>
      <c r="V76" s="2128"/>
      <c r="W76" s="2128"/>
      <c r="X76" s="2128"/>
      <c r="Y76" s="2128"/>
      <c r="Z76" s="2128"/>
      <c r="AA76" s="2128"/>
      <c r="AB76" s="2128"/>
      <c r="AC76" s="2128"/>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 thickTop="1">
      <c r="A78" s="669"/>
      <c r="B78" s="673" t="s">
        <v>586</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ht="15" thickTop="1">
      <c r="A80" s="669"/>
      <c r="B80" s="1879" t="s">
        <v>2554</v>
      </c>
      <c r="C80" s="708" t="s">
        <v>579</v>
      </c>
      <c r="D80" s="708" t="s">
        <v>580</v>
      </c>
      <c r="E80" s="708" t="s">
        <v>581</v>
      </c>
      <c r="F80" s="708" t="s">
        <v>582</v>
      </c>
      <c r="G80" s="708" t="s">
        <v>583</v>
      </c>
      <c r="H80" s="674"/>
      <c r="I80" s="674"/>
      <c r="J80" s="674"/>
      <c r="K80" s="675"/>
      <c r="L80" s="676"/>
      <c r="M80" s="677"/>
      <c r="N80" s="2147"/>
      <c r="O80" s="2147"/>
      <c r="P80" s="2148"/>
      <c r="Q80" s="2141"/>
      <c r="R80" s="2128"/>
      <c r="S80" s="2128"/>
      <c r="T80" s="2128"/>
      <c r="U80" s="2128"/>
      <c r="V80" s="2128"/>
      <c r="W80" s="2128"/>
      <c r="X80" s="2128"/>
      <c r="Y80" s="2128"/>
      <c r="Z80" s="2128"/>
      <c r="AA80" s="2128"/>
      <c r="AB80" s="2128"/>
      <c r="AC80" s="2128"/>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49"/>
      <c r="O81" s="2149"/>
      <c r="P81" s="2148"/>
      <c r="Q81" s="2141"/>
      <c r="R81" s="2128"/>
      <c r="S81" s="2128"/>
      <c r="T81" s="2128"/>
      <c r="U81" s="2128"/>
      <c r="V81" s="2128"/>
      <c r="W81" s="2128"/>
      <c r="X81" s="2128"/>
      <c r="Y81" s="2128"/>
      <c r="Z81" s="2128"/>
      <c r="AA81" s="2128"/>
      <c r="AB81" s="2128"/>
      <c r="AC81" s="2128"/>
    </row>
    <row r="82" spans="1:29" ht="15" thickTop="1">
      <c r="A82" s="669"/>
      <c r="B82" s="2559" t="s">
        <v>2555</v>
      </c>
      <c r="C82" s="2560" t="s">
        <v>2556</v>
      </c>
      <c r="D82" s="2560" t="s">
        <v>2557</v>
      </c>
      <c r="E82" s="2560" t="s">
        <v>2558</v>
      </c>
      <c r="F82" s="2560" t="s">
        <v>2559</v>
      </c>
      <c r="G82" s="2560" t="s">
        <v>2560</v>
      </c>
      <c r="H82" s="674"/>
      <c r="I82" s="674"/>
      <c r="J82" s="674"/>
      <c r="K82" s="674"/>
      <c r="L82" s="674"/>
      <c r="M82" s="2563"/>
      <c r="N82" s="2149"/>
      <c r="O82" s="2149"/>
      <c r="P82" s="2148"/>
      <c r="Q82" s="2141"/>
      <c r="R82" s="2128"/>
      <c r="S82" s="2128"/>
      <c r="T82" s="2128"/>
      <c r="U82" s="2128"/>
      <c r="V82" s="2128"/>
      <c r="W82" s="2128"/>
      <c r="X82" s="2128"/>
      <c r="Y82" s="2128"/>
      <c r="Z82" s="2128"/>
      <c r="AA82" s="2128"/>
      <c r="AB82" s="2128"/>
      <c r="AC82" s="2128"/>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49"/>
      <c r="O83" s="2149"/>
      <c r="P83" s="2148"/>
      <c r="Q83" s="2141"/>
      <c r="R83" s="2128"/>
      <c r="S83" s="2128"/>
      <c r="T83" s="2128"/>
      <c r="U83" s="2128"/>
      <c r="V83" s="2128"/>
      <c r="W83" s="2128"/>
      <c r="X83" s="2128"/>
      <c r="Y83" s="2128"/>
      <c r="Z83" s="2128"/>
      <c r="AA83" s="2128"/>
      <c r="AB83" s="2128"/>
      <c r="AC83" s="2128"/>
    </row>
    <row r="84" spans="1:29" ht="15" thickTop="1">
      <c r="A84" s="669"/>
      <c r="B84" s="673" t="s">
        <v>744</v>
      </c>
      <c r="C84" s="708" t="s">
        <v>579</v>
      </c>
      <c r="D84" s="708" t="s">
        <v>580</v>
      </c>
      <c r="E84" s="708" t="s">
        <v>581</v>
      </c>
      <c r="F84" s="708" t="s">
        <v>582</v>
      </c>
      <c r="G84" s="708" t="s">
        <v>583</v>
      </c>
      <c r="H84" s="674"/>
      <c r="I84" s="674"/>
      <c r="J84" s="674"/>
      <c r="K84" s="675"/>
      <c r="L84" s="676"/>
      <c r="M84" s="677"/>
      <c r="N84" s="2147"/>
      <c r="O84" s="2147"/>
      <c r="P84" s="2148"/>
      <c r="Q84" s="2141"/>
      <c r="R84" s="2128"/>
      <c r="S84" s="2128"/>
      <c r="T84" s="2128"/>
      <c r="U84" s="2128"/>
      <c r="V84" s="2128"/>
      <c r="W84" s="2128"/>
      <c r="X84" s="2128"/>
      <c r="Y84" s="2128"/>
      <c r="Z84" s="2128"/>
      <c r="AA84" s="2128"/>
      <c r="AB84" s="2128"/>
      <c r="AC84" s="2128"/>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49"/>
      <c r="O85" s="2149"/>
      <c r="P85" s="2148"/>
      <c r="Q85" s="2141"/>
      <c r="R85" s="2128"/>
      <c r="S85" s="2128"/>
      <c r="T85" s="2128"/>
      <c r="U85" s="2128"/>
      <c r="V85" s="2128"/>
      <c r="W85" s="2128"/>
      <c r="X85" s="2128"/>
      <c r="Y85" s="2128"/>
      <c r="Z85" s="2128"/>
      <c r="AA85" s="2128"/>
      <c r="AB85" s="2128"/>
      <c r="AC85" s="2128"/>
    </row>
    <row r="86" spans="1:29" s="1216" customFormat="1" ht="15" thickTop="1">
      <c r="A86" s="709"/>
      <c r="B86" s="673" t="s">
        <v>771</v>
      </c>
      <c r="C86" s="3182" t="s">
        <v>3343</v>
      </c>
      <c r="D86" s="3182" t="s">
        <v>3344</v>
      </c>
      <c r="E86" s="3182" t="s">
        <v>3345</v>
      </c>
      <c r="F86" s="3182" t="s">
        <v>3346</v>
      </c>
      <c r="G86" s="688"/>
      <c r="H86" s="688"/>
      <c r="I86" s="688"/>
      <c r="J86" s="688"/>
      <c r="K86" s="688"/>
      <c r="L86" s="890"/>
      <c r="M86" s="891"/>
      <c r="N86" s="2145"/>
      <c r="O86" s="2145"/>
      <c r="P86" s="2148"/>
      <c r="Q86" s="2141"/>
      <c r="R86" s="1976"/>
      <c r="S86" s="1976"/>
      <c r="T86" s="1976"/>
      <c r="U86" s="1976"/>
      <c r="V86" s="1976"/>
      <c r="W86" s="1976"/>
      <c r="X86" s="1976"/>
      <c r="Y86" s="1976"/>
      <c r="Z86" s="1976"/>
      <c r="AA86" s="1976"/>
      <c r="AB86" s="1976"/>
      <c r="AC86" s="1976"/>
    </row>
    <row r="87" spans="1:29" s="1216"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9"/>
      <c r="O87" s="2149"/>
      <c r="P87" s="2148"/>
      <c r="Q87" s="2141"/>
      <c r="R87" s="1976"/>
      <c r="S87" s="1976"/>
      <c r="T87" s="1976"/>
      <c r="U87" s="1976"/>
      <c r="V87" s="1976"/>
      <c r="W87" s="1976"/>
      <c r="X87" s="1976"/>
      <c r="Y87" s="1976"/>
      <c r="Z87" s="1976"/>
      <c r="AA87" s="1976"/>
      <c r="AB87" s="1976"/>
      <c r="AC87" s="1976"/>
    </row>
    <row r="88" spans="1:29" s="1216" customFormat="1" ht="15" thickTop="1">
      <c r="A88" s="709"/>
      <c r="B88" s="673" t="str">
        <f>B26</f>
        <v>平面位置/可视性</v>
      </c>
      <c r="C88" s="3182" t="s">
        <v>3347</v>
      </c>
      <c r="D88" s="3182" t="s">
        <v>3348</v>
      </c>
      <c r="E88" s="3182" t="s">
        <v>3349</v>
      </c>
      <c r="F88" s="3248" t="s">
        <v>3350</v>
      </c>
      <c r="G88" s="3182" t="s">
        <v>3351</v>
      </c>
      <c r="H88" s="688"/>
      <c r="I88" s="688"/>
      <c r="J88" s="688"/>
      <c r="K88" s="688"/>
      <c r="L88" s="688"/>
      <c r="M88" s="891"/>
      <c r="N88" s="2145"/>
      <c r="O88" s="2145"/>
      <c r="P88" s="2148"/>
      <c r="Q88" s="2141"/>
      <c r="R88" s="1976"/>
      <c r="S88" s="1976"/>
      <c r="T88" s="1976"/>
      <c r="U88" s="1976"/>
      <c r="V88" s="1976"/>
      <c r="W88" s="1976"/>
      <c r="X88" s="1976"/>
      <c r="Y88" s="1976"/>
      <c r="Z88" s="1976"/>
      <c r="AA88" s="1976"/>
      <c r="AB88" s="1976"/>
      <c r="AC88" s="1976"/>
    </row>
    <row r="89" spans="1:29" s="1216" customFormat="1" ht="14.4" thickBot="1">
      <c r="A89" s="709"/>
      <c r="B89" s="678"/>
      <c r="C89" s="692"/>
      <c r="D89" s="671"/>
      <c r="E89" s="671"/>
      <c r="F89" s="671"/>
      <c r="G89" s="671"/>
      <c r="H89" s="671"/>
      <c r="I89" s="671"/>
      <c r="J89" s="671"/>
      <c r="K89" s="671"/>
      <c r="L89" s="671"/>
      <c r="M89" s="671"/>
      <c r="N89" s="2149"/>
      <c r="O89" s="2149"/>
      <c r="P89" s="2148"/>
      <c r="Q89" s="2141"/>
      <c r="R89" s="1976"/>
      <c r="S89" s="1976"/>
      <c r="T89" s="1976"/>
      <c r="U89" s="1976"/>
      <c r="V89" s="1976"/>
      <c r="W89" s="1976"/>
      <c r="X89" s="1976"/>
      <c r="Y89" s="1976"/>
      <c r="Z89" s="1976"/>
      <c r="AA89" s="1976"/>
      <c r="AB89" s="1976"/>
      <c r="AC89" s="1976"/>
    </row>
    <row r="90" spans="1:29" s="1335" customFormat="1" ht="15" thickTop="1">
      <c r="A90" s="687"/>
      <c r="B90" s="673" t="str">
        <f>B27</f>
        <v>人流量</v>
      </c>
      <c r="C90" s="3182" t="s">
        <v>3352</v>
      </c>
      <c r="D90" s="3182" t="s">
        <v>3353</v>
      </c>
      <c r="E90" s="3182" t="s">
        <v>3349</v>
      </c>
      <c r="F90" s="3182" t="s">
        <v>3354</v>
      </c>
      <c r="G90" s="3182" t="s">
        <v>3355</v>
      </c>
      <c r="H90" s="689"/>
      <c r="I90" s="689"/>
      <c r="J90" s="689"/>
      <c r="K90" s="689"/>
      <c r="L90" s="690"/>
      <c r="M90" s="691"/>
      <c r="N90" s="2150"/>
      <c r="O90" s="2150"/>
      <c r="P90" s="2151"/>
      <c r="Q90" s="2152"/>
      <c r="R90" s="2153"/>
      <c r="S90" s="2153"/>
      <c r="T90" s="2153"/>
      <c r="U90" s="2153"/>
      <c r="V90" s="2153"/>
      <c r="W90" s="2153"/>
      <c r="X90" s="2153"/>
      <c r="Y90" s="2153"/>
      <c r="Z90" s="2153"/>
      <c r="AA90" s="2153"/>
      <c r="AB90" s="2153"/>
      <c r="AC90" s="2153"/>
    </row>
    <row r="91" spans="1:29" s="1335"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0"/>
      <c r="O91" s="2150"/>
      <c r="P91" s="2151"/>
      <c r="Q91" s="2152"/>
      <c r="R91" s="2153"/>
      <c r="S91" s="2153"/>
      <c r="T91" s="2153"/>
      <c r="U91" s="2153"/>
      <c r="V91" s="2153"/>
      <c r="W91" s="2153"/>
      <c r="X91" s="2153"/>
      <c r="Y91" s="2153"/>
      <c r="Z91" s="2153"/>
      <c r="AA91" s="2153"/>
      <c r="AB91" s="2153"/>
      <c r="AC91" s="2153"/>
    </row>
    <row r="92" spans="1:29" ht="14.4" thickTop="1">
      <c r="A92" s="669"/>
      <c r="B92" s="673" t="str">
        <f>B28</f>
        <v>楼层</v>
      </c>
      <c r="C92" s="688">
        <v>1</v>
      </c>
      <c r="D92" s="688"/>
      <c r="E92" s="688"/>
      <c r="F92" s="688"/>
      <c r="G92" s="688"/>
      <c r="H92" s="688"/>
      <c r="I92" s="688"/>
      <c r="J92" s="688"/>
      <c r="K92" s="688"/>
      <c r="L92" s="890"/>
      <c r="M92" s="891"/>
      <c r="N92" s="2147"/>
      <c r="O92" s="2147"/>
      <c r="P92" s="2148"/>
      <c r="Q92" s="2141"/>
      <c r="R92" s="2128"/>
      <c r="S92" s="2128"/>
      <c r="T92" s="2128"/>
      <c r="U92" s="2128"/>
      <c r="V92" s="2128"/>
      <c r="W92" s="2128"/>
      <c r="X92" s="2128"/>
      <c r="Y92" s="2128"/>
      <c r="Z92" s="2128"/>
      <c r="AA92" s="2128"/>
      <c r="AB92" s="2128"/>
      <c r="AC92" s="2128"/>
    </row>
    <row r="93" spans="1:29" ht="14.4" thickBot="1">
      <c r="A93" s="669"/>
      <c r="B93" s="678"/>
      <c r="C93" s="671">
        <v>100</v>
      </c>
      <c r="D93" s="671"/>
      <c r="E93" s="671"/>
      <c r="F93" s="671"/>
      <c r="G93" s="671"/>
      <c r="H93" s="671"/>
      <c r="I93" s="671"/>
      <c r="J93" s="671"/>
      <c r="K93" s="671"/>
      <c r="L93" s="671"/>
      <c r="M93" s="672"/>
      <c r="N93" s="2149"/>
      <c r="O93" s="2149"/>
      <c r="P93" s="2148"/>
      <c r="Q93" s="2141"/>
      <c r="R93" s="2128"/>
      <c r="S93" s="2128"/>
      <c r="T93" s="2128"/>
      <c r="U93" s="2128"/>
      <c r="V93" s="2128"/>
      <c r="W93" s="2128"/>
      <c r="X93" s="2128"/>
      <c r="Y93" s="2128"/>
      <c r="Z93" s="2128"/>
      <c r="AA93" s="2128"/>
      <c r="AB93" s="2128"/>
      <c r="AC93" s="2128"/>
    </row>
    <row r="94" spans="1:29" ht="14.4" thickTop="1">
      <c r="A94" s="669"/>
      <c r="B94" s="673">
        <f>B29</f>
        <v>111</v>
      </c>
      <c r="C94" s="688"/>
      <c r="D94" s="688"/>
      <c r="E94" s="688"/>
      <c r="F94" s="688"/>
      <c r="G94" s="718"/>
      <c r="H94" s="718"/>
      <c r="I94" s="718"/>
      <c r="J94" s="718"/>
      <c r="K94" s="719"/>
      <c r="L94" s="720"/>
      <c r="M94" s="721"/>
      <c r="N94" s="2147"/>
      <c r="O94" s="2147"/>
      <c r="P94" s="2148"/>
      <c r="Q94" s="2141"/>
      <c r="R94" s="2128"/>
      <c r="S94" s="2128"/>
      <c r="T94" s="2128"/>
      <c r="U94" s="2128"/>
      <c r="V94" s="2128"/>
      <c r="W94" s="2128"/>
      <c r="X94" s="2128"/>
      <c r="Y94" s="2128"/>
      <c r="Z94" s="2128"/>
      <c r="AA94" s="2128"/>
      <c r="AB94" s="2128"/>
      <c r="AC94" s="2128"/>
    </row>
    <row r="95" spans="1:29" ht="14.4" thickBot="1">
      <c r="A95" s="669"/>
      <c r="B95" s="678"/>
      <c r="C95" s="692"/>
      <c r="D95" s="671"/>
      <c r="E95" s="671"/>
      <c r="F95" s="671"/>
      <c r="G95" s="671"/>
      <c r="H95" s="671"/>
      <c r="I95" s="671"/>
      <c r="J95" s="671"/>
      <c r="K95" s="671"/>
      <c r="L95" s="671"/>
      <c r="M95" s="672"/>
      <c r="N95" s="2149"/>
      <c r="O95" s="2149"/>
      <c r="P95" s="2148"/>
      <c r="Q95" s="2141"/>
      <c r="R95" s="2128"/>
      <c r="S95" s="2128"/>
      <c r="T95" s="2128"/>
      <c r="U95" s="2128"/>
      <c r="V95" s="2128"/>
      <c r="W95" s="2128"/>
      <c r="X95" s="2128"/>
      <c r="Y95" s="2128"/>
      <c r="Z95" s="2128"/>
      <c r="AA95" s="2128"/>
      <c r="AB95" s="2128"/>
      <c r="AC95" s="2128"/>
    </row>
    <row r="96" spans="1:29" ht="14.4" thickTop="1">
      <c r="A96" s="669"/>
      <c r="B96" s="673">
        <f>B30</f>
        <v>111</v>
      </c>
      <c r="C96" s="688"/>
      <c r="D96" s="688"/>
      <c r="E96" s="688"/>
      <c r="F96" s="688"/>
      <c r="G96" s="718"/>
      <c r="H96" s="718"/>
      <c r="I96" s="718"/>
      <c r="J96" s="718"/>
      <c r="K96" s="719"/>
      <c r="L96" s="720"/>
      <c r="M96" s="721"/>
      <c r="N96" s="2147"/>
      <c r="O96" s="2147"/>
      <c r="P96" s="2148"/>
      <c r="Q96" s="2141"/>
      <c r="R96" s="2128"/>
      <c r="S96" s="2128"/>
      <c r="T96" s="2128"/>
      <c r="U96" s="2128"/>
      <c r="V96" s="2128"/>
      <c r="W96" s="2128"/>
      <c r="X96" s="2128"/>
      <c r="Y96" s="2128"/>
      <c r="Z96" s="2128"/>
      <c r="AA96" s="2128"/>
      <c r="AB96" s="2128"/>
      <c r="AC96" s="2128"/>
    </row>
    <row r="97" spans="1:29" ht="14.4" thickBot="1">
      <c r="A97" s="669"/>
      <c r="B97" s="678"/>
      <c r="C97" s="692"/>
      <c r="D97" s="671"/>
      <c r="E97" s="671"/>
      <c r="F97" s="671"/>
      <c r="G97" s="671"/>
      <c r="H97" s="671"/>
      <c r="I97" s="671"/>
      <c r="J97" s="671"/>
      <c r="K97" s="671"/>
      <c r="L97" s="671"/>
      <c r="M97" s="672"/>
      <c r="N97" s="2149"/>
      <c r="O97" s="2149"/>
      <c r="P97" s="2148"/>
      <c r="Q97" s="2141"/>
      <c r="R97" s="2128"/>
      <c r="S97" s="2128"/>
      <c r="T97" s="2128"/>
      <c r="U97" s="2128"/>
      <c r="V97" s="2128"/>
      <c r="W97" s="2128"/>
      <c r="X97" s="2128"/>
      <c r="Y97" s="2128"/>
      <c r="Z97" s="2128"/>
      <c r="AA97" s="2128"/>
      <c r="AB97" s="2128"/>
      <c r="AC97" s="2128"/>
    </row>
    <row r="98" spans="1:29" ht="14.4" thickTop="1">
      <c r="A98" s="669"/>
      <c r="B98" s="681">
        <f>B31</f>
        <v>111</v>
      </c>
      <c r="C98" s="688"/>
      <c r="D98" s="688"/>
      <c r="E98" s="688"/>
      <c r="F98" s="688"/>
      <c r="G98" s="722"/>
      <c r="H98" s="722"/>
      <c r="I98" s="722"/>
      <c r="J98" s="722"/>
      <c r="K98" s="723"/>
      <c r="L98" s="724"/>
      <c r="M98" s="725"/>
      <c r="N98" s="2147"/>
      <c r="O98" s="2147"/>
      <c r="P98" s="2148"/>
      <c r="Q98" s="2141"/>
      <c r="R98" s="2128"/>
      <c r="S98" s="2128"/>
      <c r="T98" s="2128"/>
      <c r="U98" s="2128"/>
      <c r="V98" s="2128"/>
      <c r="W98" s="2128"/>
      <c r="X98" s="2128"/>
      <c r="Y98" s="2128"/>
      <c r="Z98" s="2128"/>
      <c r="AA98" s="2128"/>
      <c r="AB98" s="2128"/>
      <c r="AC98" s="2128"/>
    </row>
    <row r="99" spans="1:29" ht="14.4" thickBot="1">
      <c r="A99" s="893"/>
      <c r="B99" s="699"/>
      <c r="C99" s="700"/>
      <c r="D99" s="700"/>
      <c r="E99" s="700"/>
      <c r="F99" s="700"/>
      <c r="G99" s="726"/>
      <c r="H99" s="726"/>
      <c r="I99" s="726"/>
      <c r="J99" s="726"/>
      <c r="K99" s="726"/>
      <c r="L99" s="726"/>
      <c r="M99" s="727"/>
      <c r="N99" s="2149"/>
      <c r="O99" s="2149"/>
      <c r="P99" s="2148"/>
      <c r="Q99" s="2141"/>
      <c r="R99" s="2128"/>
      <c r="S99" s="2128"/>
      <c r="T99" s="2128"/>
      <c r="U99" s="2128"/>
      <c r="V99" s="2128"/>
      <c r="W99" s="2128"/>
      <c r="X99" s="2128"/>
      <c r="Y99" s="2128"/>
      <c r="Z99" s="2128"/>
      <c r="AA99" s="2128"/>
      <c r="AB99" s="2128"/>
      <c r="AC99" s="2128"/>
    </row>
    <row r="100" spans="1:29" ht="14.4">
      <c r="A100" s="664" t="s">
        <v>551</v>
      </c>
      <c r="B100" s="665" t="s">
        <v>772</v>
      </c>
      <c r="C100" s="3181" t="s">
        <v>3356</v>
      </c>
      <c r="D100" s="3181" t="s">
        <v>3357</v>
      </c>
      <c r="E100" s="3181" t="s">
        <v>3358</v>
      </c>
      <c r="F100" s="598"/>
      <c r="G100" s="598"/>
      <c r="H100" s="598"/>
      <c r="I100" s="598"/>
      <c r="J100" s="598"/>
      <c r="K100" s="666"/>
      <c r="L100" s="667"/>
      <c r="M100" s="668"/>
      <c r="N100" s="2147"/>
      <c r="O100" s="2147"/>
      <c r="P100" s="2148"/>
      <c r="Q100" s="2141"/>
      <c r="R100" s="2128"/>
      <c r="S100" s="2128"/>
      <c r="T100" s="2128"/>
      <c r="U100" s="2128"/>
      <c r="V100" s="2128"/>
      <c r="W100" s="2128"/>
      <c r="X100" s="2128"/>
      <c r="Y100" s="2128"/>
      <c r="Z100" s="2128"/>
      <c r="AA100" s="2128"/>
      <c r="AB100" s="2128"/>
      <c r="AC100" s="2128"/>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49"/>
      <c r="O101" s="2149"/>
      <c r="P101" s="2148"/>
      <c r="Q101" s="2141"/>
      <c r="R101" s="2128"/>
      <c r="S101" s="2128"/>
      <c r="T101" s="2128"/>
      <c r="U101" s="2128"/>
      <c r="V101" s="2128"/>
      <c r="W101" s="2128"/>
      <c r="X101" s="2128"/>
      <c r="Y101" s="2128"/>
      <c r="Z101" s="2128"/>
      <c r="AA101" s="2128"/>
      <c r="AB101" s="2128"/>
      <c r="AC101" s="2128"/>
    </row>
    <row r="102" spans="1:29" ht="15" thickTop="1">
      <c r="A102" s="669"/>
      <c r="B102" s="673" t="s">
        <v>748</v>
      </c>
      <c r="C102" s="708" t="str">
        <f>C103&amp;"(含)"&amp;"-"&amp;D103</f>
        <v>0(含)-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5" customFormat="1">
      <c r="A103" s="728"/>
      <c r="B103" s="729"/>
      <c r="C103" s="730">
        <v>0</v>
      </c>
      <c r="D103" s="730"/>
      <c r="E103" s="730"/>
      <c r="F103" s="730"/>
      <c r="G103" s="730"/>
      <c r="H103" s="730"/>
      <c r="I103" s="730"/>
      <c r="J103" s="731"/>
      <c r="K103" s="731"/>
      <c r="L103" s="732"/>
      <c r="M103" s="733"/>
      <c r="N103" s="2150"/>
      <c r="O103" s="2150"/>
      <c r="P103" s="2151"/>
      <c r="Q103" s="2152"/>
      <c r="R103" s="2153"/>
      <c r="S103" s="2153"/>
      <c r="T103" s="2153"/>
      <c r="U103" s="2153"/>
      <c r="V103" s="2153"/>
      <c r="W103" s="2153"/>
      <c r="X103" s="2153"/>
      <c r="Y103" s="2153"/>
      <c r="Z103" s="2153"/>
      <c r="AA103" s="2153"/>
      <c r="AB103" s="2153"/>
      <c r="AC103" s="2153"/>
    </row>
    <row r="104" spans="1:29" s="1335" customFormat="1" ht="14.4" thickBot="1">
      <c r="A104" s="687"/>
      <c r="B104" s="678"/>
      <c r="C104" s="692">
        <v>100</v>
      </c>
      <c r="D104" s="671"/>
      <c r="E104" s="671"/>
      <c r="F104" s="671"/>
      <c r="G104" s="671"/>
      <c r="H104" s="671"/>
      <c r="I104" s="671"/>
      <c r="J104" s="671"/>
      <c r="K104" s="671"/>
      <c r="L104" s="671"/>
      <c r="M104" s="672"/>
      <c r="N104" s="2149"/>
      <c r="O104" s="2149"/>
      <c r="P104" s="2151"/>
      <c r="Q104" s="2152"/>
      <c r="R104" s="2153"/>
      <c r="S104" s="2153"/>
      <c r="T104" s="2153"/>
      <c r="U104" s="2153"/>
      <c r="V104" s="2153"/>
      <c r="W104" s="2153"/>
      <c r="X104" s="2153"/>
      <c r="Y104" s="2153"/>
      <c r="Z104" s="2153"/>
      <c r="AA104" s="2153"/>
      <c r="AB104" s="2153"/>
      <c r="AC104" s="2153"/>
    </row>
    <row r="105" spans="1:29" ht="15" thickTop="1">
      <c r="A105" s="735"/>
      <c r="B105" s="673" t="s">
        <v>749</v>
      </c>
      <c r="C105" s="688"/>
      <c r="D105" s="688"/>
      <c r="E105" s="718"/>
      <c r="F105" s="71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5"/>
      <c r="B107" s="673" t="s">
        <v>751</v>
      </c>
      <c r="C107" s="688"/>
      <c r="D107" s="688"/>
      <c r="E107" s="688"/>
      <c r="F107" s="718"/>
      <c r="G107" s="718"/>
      <c r="H107" s="718"/>
      <c r="I107" s="718"/>
      <c r="J107" s="718"/>
      <c r="K107" s="719"/>
      <c r="L107" s="720"/>
      <c r="M107" s="721"/>
      <c r="N107" s="2147"/>
      <c r="O107" s="2147"/>
      <c r="P107" s="2148"/>
      <c r="Q107" s="2141"/>
      <c r="R107" s="2128"/>
      <c r="S107" s="2128"/>
      <c r="T107" s="2128"/>
      <c r="U107" s="2128"/>
      <c r="V107" s="2128"/>
      <c r="W107" s="2128"/>
      <c r="X107" s="2128"/>
      <c r="Y107" s="2128"/>
      <c r="Z107" s="2128"/>
      <c r="AA107" s="2128"/>
      <c r="AB107" s="2128"/>
      <c r="AC107" s="2128"/>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7"/>
      <c r="O109" s="2147"/>
      <c r="P109" s="2148"/>
      <c r="Q109" s="2141"/>
      <c r="R109" s="2128"/>
      <c r="S109" s="2128"/>
      <c r="T109" s="2128"/>
      <c r="U109" s="2128"/>
      <c r="V109" s="2128"/>
      <c r="W109" s="2128"/>
      <c r="X109" s="2128"/>
      <c r="Y109" s="2128"/>
      <c r="Z109" s="2128"/>
      <c r="AA109" s="2128"/>
      <c r="AB109" s="2128"/>
      <c r="AC109" s="2128"/>
    </row>
    <row r="110" spans="1:29">
      <c r="A110" s="735"/>
      <c r="B110" s="681"/>
      <c r="C110" s="894">
        <v>0.5</v>
      </c>
      <c r="D110" s="894">
        <v>0.6</v>
      </c>
      <c r="E110" s="894">
        <v>0.7</v>
      </c>
      <c r="F110" s="894">
        <v>0.8</v>
      </c>
      <c r="G110" s="894">
        <v>0.9</v>
      </c>
      <c r="H110" s="894">
        <v>1.0001</v>
      </c>
      <c r="I110" s="905"/>
      <c r="J110" s="905"/>
      <c r="K110" s="906"/>
      <c r="L110" s="907"/>
      <c r="M110" s="908"/>
      <c r="N110" s="2147"/>
      <c r="O110" s="2147"/>
      <c r="P110" s="2148"/>
      <c r="Q110" s="2141"/>
      <c r="R110" s="2128"/>
      <c r="S110" s="2128"/>
      <c r="T110" s="2128"/>
      <c r="U110" s="2128"/>
      <c r="V110" s="2128"/>
      <c r="W110" s="2128"/>
      <c r="X110" s="2128"/>
      <c r="Y110" s="2128"/>
      <c r="Z110" s="2128"/>
      <c r="AA110" s="2128"/>
      <c r="AB110" s="2128"/>
      <c r="AC110" s="2128"/>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49"/>
      <c r="O111" s="2149"/>
      <c r="P111" s="2148"/>
      <c r="Q111" s="2141"/>
      <c r="R111" s="2128"/>
      <c r="S111" s="2128"/>
      <c r="T111" s="2128"/>
      <c r="U111" s="2128"/>
      <c r="V111" s="2128"/>
      <c r="W111" s="2128"/>
      <c r="X111" s="2128"/>
      <c r="Y111" s="2128"/>
      <c r="Z111" s="2128"/>
      <c r="AA111" s="2128"/>
      <c r="AB111" s="2128"/>
      <c r="AC111" s="2128"/>
    </row>
    <row r="112" spans="1:29" s="1335" customFormat="1" ht="15" thickTop="1">
      <c r="A112" s="728"/>
      <c r="B112" s="1879" t="s">
        <v>2553</v>
      </c>
      <c r="C112" s="688"/>
      <c r="D112" s="688"/>
      <c r="E112" s="688"/>
      <c r="F112" s="688"/>
      <c r="G112" s="688"/>
      <c r="H112" s="718"/>
      <c r="I112" s="718"/>
      <c r="J112" s="718"/>
      <c r="K112" s="719"/>
      <c r="L112" s="720"/>
      <c r="M112" s="721"/>
      <c r="N112" s="2150"/>
      <c r="O112" s="2150"/>
      <c r="P112" s="2151"/>
      <c r="Q112" s="2152"/>
      <c r="R112" s="2153"/>
      <c r="S112" s="2153"/>
      <c r="T112" s="2153"/>
      <c r="U112" s="2153"/>
      <c r="V112" s="2153"/>
      <c r="W112" s="2153"/>
      <c r="X112" s="2153"/>
      <c r="Y112" s="2153"/>
      <c r="Z112" s="2153"/>
      <c r="AA112" s="2153"/>
      <c r="AB112" s="2153"/>
      <c r="AC112" s="2153"/>
    </row>
    <row r="113" spans="1:29" s="1335"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5"/>
      <c r="B114" s="673" t="s">
        <v>773</v>
      </c>
      <c r="C114" s="688"/>
      <c r="D114" s="688"/>
      <c r="E114" s="718"/>
      <c r="F114" s="718"/>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5"/>
      <c r="B116" s="673" t="s">
        <v>774</v>
      </c>
      <c r="C116" s="688"/>
      <c r="D116" s="688"/>
      <c r="E116" s="688"/>
      <c r="F116" s="688"/>
      <c r="G116" s="68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t="s">
        <v>775</v>
      </c>
      <c r="C118" s="909"/>
      <c r="D118" s="909"/>
      <c r="E118" s="909"/>
      <c r="F118" s="909"/>
      <c r="G118" s="909"/>
      <c r="H118" s="689"/>
      <c r="I118" s="689"/>
      <c r="J118" s="689"/>
      <c r="K118" s="689"/>
      <c r="L118" s="690"/>
      <c r="M118" s="691"/>
      <c r="N118" s="2147"/>
      <c r="O118" s="2147"/>
      <c r="P118" s="2148"/>
      <c r="Q118" s="2141"/>
      <c r="R118" s="2128"/>
      <c r="S118" s="2128"/>
      <c r="T118" s="2128"/>
      <c r="U118" s="2128"/>
      <c r="V118" s="2128"/>
      <c r="W118" s="2128"/>
      <c r="X118" s="2128"/>
      <c r="Y118" s="2128"/>
      <c r="Z118" s="2128"/>
      <c r="AA118" s="2128"/>
      <c r="AB118" s="2128"/>
      <c r="AC118" s="2128"/>
    </row>
    <row r="119" spans="1:29" ht="14.4" thickBot="1">
      <c r="A119" s="669"/>
      <c r="B119" s="678"/>
      <c r="C119" s="692"/>
      <c r="D119" s="671"/>
      <c r="E119" s="671"/>
      <c r="F119" s="671"/>
      <c r="G119" s="671"/>
      <c r="H119" s="671"/>
      <c r="I119" s="671"/>
      <c r="J119" s="671"/>
      <c r="K119" s="671"/>
      <c r="L119" s="671"/>
      <c r="M119" s="672"/>
      <c r="N119" s="2149"/>
      <c r="O119" s="2149"/>
      <c r="P119" s="2148"/>
      <c r="Q119" s="2141"/>
      <c r="R119" s="2128"/>
      <c r="S119" s="2128"/>
      <c r="T119" s="2128"/>
      <c r="U119" s="2128"/>
      <c r="V119" s="2128"/>
      <c r="W119" s="2128"/>
      <c r="X119" s="2128"/>
      <c r="Y119" s="2128"/>
      <c r="Z119" s="2128"/>
      <c r="AA119" s="2128"/>
      <c r="AB119" s="2128"/>
      <c r="AC119" s="2128"/>
    </row>
    <row r="120" spans="1:29" s="1335" customFormat="1" ht="15" thickTop="1">
      <c r="A120" s="728"/>
      <c r="B120" s="673" t="s">
        <v>776</v>
      </c>
      <c r="C120" s="718"/>
      <c r="D120" s="718"/>
      <c r="E120" s="718"/>
      <c r="F120" s="718"/>
      <c r="G120" s="689"/>
      <c r="H120" s="689"/>
      <c r="I120" s="689"/>
      <c r="J120" s="689"/>
      <c r="K120" s="689"/>
      <c r="L120" s="690"/>
      <c r="M120" s="691"/>
      <c r="N120" s="2150"/>
      <c r="O120" s="2150"/>
      <c r="P120" s="2151"/>
      <c r="Q120" s="2152"/>
      <c r="R120" s="2153"/>
      <c r="S120" s="2153"/>
      <c r="T120" s="2153"/>
      <c r="U120" s="2153"/>
      <c r="V120" s="2153"/>
      <c r="W120" s="2153"/>
      <c r="X120" s="2153"/>
      <c r="Y120" s="2153"/>
      <c r="Z120" s="2153"/>
      <c r="AA120" s="2153"/>
      <c r="AB120" s="2153"/>
      <c r="AC120" s="2153"/>
    </row>
    <row r="121" spans="1:29" s="1335"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5"/>
      <c r="B122" s="673" t="s">
        <v>755</v>
      </c>
      <c r="C122" s="3182" t="s">
        <v>3361</v>
      </c>
      <c r="D122" s="3182" t="s">
        <v>3362</v>
      </c>
      <c r="E122" s="3182" t="s">
        <v>3363</v>
      </c>
      <c r="F122" s="3191" t="s">
        <v>3364</v>
      </c>
      <c r="G122" s="718"/>
      <c r="H122" s="718"/>
      <c r="I122" s="718"/>
      <c r="J122" s="718"/>
      <c r="K122" s="719"/>
      <c r="L122" s="720"/>
      <c r="M122" s="721"/>
      <c r="N122" s="2147"/>
      <c r="O122" s="2147"/>
      <c r="P122" s="2148"/>
      <c r="Q122" s="2141"/>
      <c r="R122" s="2128"/>
      <c r="S122" s="2128"/>
      <c r="T122" s="2128"/>
      <c r="U122" s="2128"/>
      <c r="V122" s="2128"/>
      <c r="W122" s="2128"/>
      <c r="X122" s="2128"/>
      <c r="Y122" s="2128"/>
      <c r="Z122" s="2128"/>
      <c r="AA122" s="2128"/>
      <c r="AB122" s="2128"/>
      <c r="AC122" s="2128"/>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49"/>
      <c r="O123" s="2149"/>
      <c r="P123" s="2148"/>
      <c r="Q123" s="2141"/>
      <c r="R123" s="2128"/>
      <c r="S123" s="2128"/>
      <c r="T123" s="2128"/>
      <c r="U123" s="2128"/>
      <c r="V123" s="2128"/>
      <c r="W123" s="2128"/>
      <c r="X123" s="2128"/>
      <c r="Y123" s="2128"/>
      <c r="Z123" s="2128"/>
      <c r="AA123" s="2128"/>
      <c r="AB123" s="2128"/>
      <c r="AC123" s="2128"/>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7"/>
      <c r="O124" s="2147"/>
      <c r="P124" s="2151"/>
      <c r="Q124" s="2141"/>
      <c r="R124" s="2128"/>
      <c r="S124" s="2128"/>
      <c r="T124" s="2128"/>
      <c r="U124" s="2128"/>
      <c r="V124" s="2128"/>
      <c r="W124" s="2128"/>
      <c r="X124" s="2128"/>
      <c r="Y124" s="2128"/>
      <c r="Z124" s="2128"/>
      <c r="AA124" s="2128"/>
      <c r="AB124" s="2128"/>
      <c r="AC124" s="2128"/>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49"/>
      <c r="O125" s="2149"/>
      <c r="P125" s="2148"/>
      <c r="Q125" s="2141"/>
      <c r="R125" s="2128"/>
      <c r="S125" s="2128"/>
      <c r="T125" s="2128"/>
      <c r="U125" s="2128"/>
      <c r="V125" s="2128"/>
      <c r="W125" s="2128"/>
      <c r="X125" s="2128"/>
      <c r="Y125" s="2128"/>
      <c r="Z125" s="2128"/>
      <c r="AA125" s="2128"/>
      <c r="AB125" s="2128"/>
      <c r="AC125" s="2128"/>
    </row>
    <row r="126" spans="1:29" s="1335" customFormat="1" ht="14.4" thickTop="1">
      <c r="A126" s="728"/>
      <c r="B126" s="673">
        <f>B44</f>
        <v>111</v>
      </c>
      <c r="C126" s="688"/>
      <c r="D126" s="688"/>
      <c r="E126" s="688"/>
      <c r="F126" s="688"/>
      <c r="G126" s="688"/>
      <c r="H126" s="689"/>
      <c r="I126" s="689"/>
      <c r="J126" s="689"/>
      <c r="K126" s="689"/>
      <c r="L126" s="690"/>
      <c r="M126" s="691"/>
      <c r="N126" s="2150"/>
      <c r="O126" s="2150"/>
      <c r="P126" s="2151"/>
      <c r="Q126" s="2152"/>
      <c r="R126" s="2153"/>
      <c r="S126" s="2153"/>
      <c r="T126" s="2153"/>
      <c r="U126" s="2153"/>
      <c r="V126" s="2153"/>
      <c r="W126" s="2153"/>
      <c r="X126" s="2153"/>
      <c r="Y126" s="2153"/>
      <c r="Z126" s="2153"/>
      <c r="AA126" s="2153"/>
      <c r="AB126" s="2153"/>
      <c r="AC126" s="2153"/>
    </row>
    <row r="127" spans="1:29" s="1335" customFormat="1" ht="14.4" thickBot="1">
      <c r="A127" s="687"/>
      <c r="B127" s="678"/>
      <c r="C127" s="692"/>
      <c r="D127" s="671"/>
      <c r="E127" s="671"/>
      <c r="F127" s="671"/>
      <c r="G127" s="692"/>
      <c r="H127" s="693"/>
      <c r="I127" s="693"/>
      <c r="J127" s="693"/>
      <c r="K127" s="693"/>
      <c r="L127" s="693"/>
      <c r="M127" s="694"/>
      <c r="N127" s="2150"/>
      <c r="O127" s="2150"/>
      <c r="P127" s="2151"/>
      <c r="Q127" s="2152"/>
      <c r="R127" s="2153"/>
      <c r="S127" s="2153"/>
      <c r="T127" s="2153"/>
      <c r="U127" s="2153"/>
      <c r="V127" s="2153"/>
      <c r="W127" s="2153"/>
      <c r="X127" s="2153"/>
      <c r="Y127" s="2153"/>
      <c r="Z127" s="2153"/>
      <c r="AA127" s="2153"/>
      <c r="AB127" s="2153"/>
      <c r="AC127" s="2153"/>
    </row>
    <row r="128" spans="1:29" ht="14.4" thickTop="1">
      <c r="A128" s="735"/>
      <c r="B128" s="673">
        <f>B45</f>
        <v>111</v>
      </c>
      <c r="C128" s="688"/>
      <c r="D128" s="688"/>
      <c r="E128" s="688"/>
      <c r="F128" s="688"/>
      <c r="G128" s="718"/>
      <c r="H128" s="718"/>
      <c r="I128" s="718"/>
      <c r="J128" s="718"/>
      <c r="K128" s="719"/>
      <c r="L128" s="720"/>
      <c r="M128" s="721"/>
      <c r="N128" s="2147"/>
      <c r="O128" s="2147"/>
      <c r="P128" s="2148"/>
      <c r="Q128" s="2141"/>
      <c r="R128" s="2128"/>
      <c r="S128" s="2128"/>
      <c r="T128" s="2128"/>
      <c r="U128" s="2128"/>
      <c r="V128" s="2128"/>
      <c r="W128" s="2128"/>
      <c r="X128" s="2128"/>
      <c r="Y128" s="2128"/>
      <c r="Z128" s="2128"/>
      <c r="AA128" s="2128"/>
      <c r="AB128" s="2128"/>
      <c r="AC128" s="2128"/>
    </row>
    <row r="129" spans="1:29" ht="14.4" thickBot="1">
      <c r="A129" s="669"/>
      <c r="B129" s="678"/>
      <c r="C129" s="692"/>
      <c r="D129" s="671"/>
      <c r="E129" s="671"/>
      <c r="F129" s="671"/>
      <c r="G129" s="671"/>
      <c r="H129" s="671"/>
      <c r="I129" s="671"/>
      <c r="J129" s="671"/>
      <c r="K129" s="671"/>
      <c r="L129" s="671"/>
      <c r="M129" s="672"/>
      <c r="N129" s="2149"/>
      <c r="O129" s="2149"/>
      <c r="P129" s="2148"/>
      <c r="Q129" s="2141"/>
      <c r="R129" s="2128"/>
      <c r="S129" s="2128"/>
      <c r="T129" s="2128"/>
      <c r="U129" s="2128"/>
      <c r="V129" s="2128"/>
      <c r="W129" s="2128"/>
      <c r="X129" s="2128"/>
      <c r="Y129" s="2128"/>
      <c r="Z129" s="2128"/>
      <c r="AA129" s="2128"/>
      <c r="AB129" s="2128"/>
      <c r="AC129" s="2128"/>
    </row>
    <row r="130" spans="1:29" ht="14.4" thickTop="1">
      <c r="A130" s="735"/>
      <c r="B130" s="681">
        <f>B46</f>
        <v>111</v>
      </c>
      <c r="C130" s="688"/>
      <c r="D130" s="688"/>
      <c r="E130" s="688"/>
      <c r="F130" s="688"/>
      <c r="G130" s="722"/>
      <c r="H130" s="722"/>
      <c r="I130" s="722"/>
      <c r="J130" s="722"/>
      <c r="K130" s="661"/>
      <c r="L130" s="662"/>
      <c r="M130" s="725"/>
      <c r="N130" s="2147"/>
      <c r="O130" s="2147"/>
      <c r="P130" s="2148"/>
      <c r="Q130" s="2141"/>
      <c r="R130" s="2128"/>
      <c r="S130" s="2128"/>
      <c r="T130" s="2128"/>
      <c r="U130" s="2128"/>
      <c r="V130" s="2128"/>
      <c r="W130" s="2128"/>
      <c r="X130" s="2128"/>
      <c r="Y130" s="2128"/>
      <c r="Z130" s="2128"/>
      <c r="AA130" s="2128"/>
      <c r="AB130" s="2128"/>
      <c r="AC130" s="2128"/>
    </row>
    <row r="131" spans="1:29" ht="14.4" thickBot="1">
      <c r="A131" s="893"/>
      <c r="B131" s="699"/>
      <c r="C131" s="700"/>
      <c r="D131" s="700"/>
      <c r="E131" s="700"/>
      <c r="F131" s="700"/>
      <c r="G131" s="726"/>
      <c r="H131" s="726"/>
      <c r="I131" s="726"/>
      <c r="J131" s="726"/>
      <c r="K131" s="726"/>
      <c r="L131" s="726"/>
      <c r="M131" s="727"/>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C10 E10 G10 I10" xr:uid="{00000000-0002-0000-2000-000000000000}">
      <formula1>土地年限区间</formula1>
    </dataValidation>
    <dataValidation type="list" allowBlank="1" showInputMessage="1" showErrorMessage="1" sqref="D1" xr:uid="{00000000-0002-0000-2000-000001000000}">
      <formula1>项目类型</formula1>
    </dataValidation>
    <dataValidation type="list" allowBlank="1" showInputMessage="1" showErrorMessage="1" sqref="C43 E43 G43 I43" xr:uid="{00000000-0002-0000-2000-000002000000}">
      <formula1>内部装修维护情况</formula1>
    </dataValidation>
    <dataValidation type="list" allowBlank="1" showInputMessage="1" showErrorMessage="1" sqref="E34 G34 I34" xr:uid="{00000000-0002-0000-2000-000003000000}">
      <formula1>住宅建筑结构</formula1>
    </dataValidation>
    <dataValidation type="list" allowBlank="1" showInputMessage="1" showErrorMessage="1" sqref="C20 G20 I20 E20" xr:uid="{00000000-0002-0000-2000-000004000000}">
      <formula1>公共配套设施</formula1>
    </dataValidation>
    <dataValidation type="list" allowBlank="1" showInputMessage="1" showErrorMessage="1" sqref="E18 G18 I18 C18" xr:uid="{00000000-0002-0000-2000-000005000000}">
      <formula1>交通便捷度</formula1>
    </dataValidation>
    <dataValidation type="list" allowBlank="1" showInputMessage="1" showErrorMessage="1" sqref="E24 G24 I24 C24" xr:uid="{00000000-0002-0000-2000-000006000000}">
      <formula1>环境</formula1>
    </dataValidation>
    <dataValidation type="list" allowBlank="1" showInputMessage="1" showErrorMessage="1" sqref="C25 E25 G25 I25" xr:uid="{00000000-0002-0000-2000-000007000000}">
      <formula1>商业临街状况</formula1>
    </dataValidation>
    <dataValidation type="list" allowBlank="1" showInputMessage="1" showErrorMessage="1" sqref="C27 E27 G27 I27" xr:uid="{00000000-0002-0000-2000-000008000000}">
      <formula1>商业人流量</formula1>
    </dataValidation>
    <dataValidation type="list" allowBlank="1" showInputMessage="1" showErrorMessage="1" sqref="C28 E28 G28 I28" xr:uid="{00000000-0002-0000-2000-000009000000}">
      <formula1>商业楼层</formula1>
    </dataValidation>
    <dataValidation type="list" allowBlank="1" showInputMessage="1" showErrorMessage="1" sqref="C32 E32 G32 I32" xr:uid="{00000000-0002-0000-2000-00000A000000}">
      <formula1>商业类型</formula1>
    </dataValidation>
    <dataValidation type="list" allowBlank="1" showInputMessage="1" showErrorMessage="1" sqref="C34" xr:uid="{00000000-0002-0000-2000-00000B000000}">
      <formula1>商业建筑结构</formula1>
    </dataValidation>
    <dataValidation type="list" allowBlank="1" showInputMessage="1" showErrorMessage="1" sqref="C35 E35 G35 I35" xr:uid="{00000000-0002-0000-2000-00000C000000}">
      <formula1>商业公共部分装修</formula1>
    </dataValidation>
    <dataValidation type="list" allowBlank="1" showInputMessage="1" showErrorMessage="1" sqref="C37 E37 G37 I37" xr:uid="{00000000-0002-0000-2000-00000D000000}">
      <formula1>商业基础设施水平</formula1>
    </dataValidation>
    <dataValidation type="list" allowBlank="1" showInputMessage="1" showErrorMessage="1" sqref="C41 E41 G41 I41" xr:uid="{00000000-0002-0000-2000-00000E000000}">
      <formula1>商业进深比</formula1>
    </dataValidation>
    <dataValidation type="list" allowBlank="1" showInputMessage="1" showErrorMessage="1" sqref="C42 E42 G42 I42" xr:uid="{00000000-0002-0000-2000-00000F000000}">
      <formula1>商业内部装修</formula1>
    </dataValidation>
    <dataValidation type="list" allowBlank="1" showInputMessage="1" showErrorMessage="1" sqref="E9 G9 I9" xr:uid="{00000000-0002-0000-2000-000010000000}">
      <formula1>商业用途</formula1>
    </dataValidation>
    <dataValidation type="list" allowBlank="1" showInputMessage="1" showErrorMessage="1" sqref="C38 E38 G38 I38" xr:uid="{00000000-0002-0000-2000-000011000000}">
      <formula1>商业业态</formula1>
    </dataValidation>
    <dataValidation type="list" allowBlank="1" showInputMessage="1" showErrorMessage="1" sqref="C39 E39 G39 I39" xr:uid="{00000000-0002-0000-2000-000012000000}">
      <formula1>商业层高</formula1>
    </dataValidation>
    <dataValidation type="list" allowBlank="1" showInputMessage="1" showErrorMessage="1" sqref="C8 E8 G8 I8" xr:uid="{00000000-0002-0000-2000-000013000000}">
      <formula1>商业交易情况</formula1>
    </dataValidation>
    <dataValidation type="list" allowBlank="1" showInputMessage="1" showErrorMessage="1" sqref="C16 E16 G16 I16" xr:uid="{00000000-0002-0000-2000-000014000000}">
      <formula1>商业繁华度</formula1>
    </dataValidation>
    <dataValidation type="list" allowBlank="1" showInputMessage="1" showErrorMessage="1" sqref="C22 E22 G22 I22" xr:uid="{00000000-0002-0000-2000-000015000000}">
      <formula1>基础设施水平</formula1>
    </dataValidation>
    <dataValidation type="list" allowBlank="1" showInputMessage="1" showErrorMessage="1" sqref="F1" xr:uid="{00000000-0002-0000-2000-000016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FD7D-9ADE-4D26-95BA-F28FB764C6C3}">
  <sheetPr>
    <tabColor rgb="FF92D050"/>
    <pageSetUpPr fitToPage="1"/>
  </sheetPr>
  <dimension ref="A1:AC268"/>
  <sheetViews>
    <sheetView topLeftCell="A4" zoomScale="80" zoomScaleNormal="80" workbookViewId="0">
      <selection activeCell="I25" sqref="I25"/>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5.88671875" style="1333" customWidth="1"/>
    <col min="6" max="6" width="12.21875" style="1333" customWidth="1"/>
    <col min="7" max="7" width="15.441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85" t="s">
        <v>719</v>
      </c>
      <c r="C1" s="2586" t="s">
        <v>720</v>
      </c>
      <c r="D1" s="2587" t="s">
        <v>923</v>
      </c>
      <c r="E1" s="2588"/>
      <c r="F1" s="2760" t="s">
        <v>3303</v>
      </c>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423" t="s">
        <v>467</v>
      </c>
      <c r="B2" s="2584">
        <f>ROUND(B3*D3/10000,0)</f>
        <v>42656</v>
      </c>
      <c r="C2" s="2110"/>
      <c r="D2" s="2110"/>
      <c r="E2" s="2110"/>
      <c r="F2" s="2184"/>
      <c r="G2" s="2110"/>
      <c r="H2" s="2110"/>
      <c r="I2" s="2110"/>
      <c r="J2" s="2110"/>
      <c r="K2" s="2185"/>
      <c r="L2" s="2186"/>
      <c r="M2" s="2187"/>
      <c r="N2" s="2187"/>
      <c r="O2" s="2187"/>
      <c r="P2" s="1587"/>
      <c r="Q2" s="1587"/>
      <c r="R2" s="1587"/>
      <c r="S2" s="1587"/>
      <c r="T2" s="1587"/>
      <c r="U2" s="1587"/>
      <c r="V2" s="1587"/>
      <c r="W2" s="1587"/>
      <c r="X2" s="1587"/>
      <c r="Y2" s="1587"/>
      <c r="Z2" s="1587"/>
      <c r="AA2" s="1587"/>
      <c r="AB2" s="1587"/>
      <c r="AC2" s="1588"/>
    </row>
    <row r="3" spans="1:29" s="1358" customFormat="1" ht="28.5" customHeight="1" thickBot="1">
      <c r="A3" s="509" t="s">
        <v>519</v>
      </c>
      <c r="B3" s="851">
        <f>C49</f>
        <v>4901</v>
      </c>
      <c r="C3" s="852" t="s">
        <v>722</v>
      </c>
      <c r="D3" s="851">
        <f>SUMIF('数据-汇总表'!$C19:$C33,D1,'数据-汇总表'!$E19:$E33)</f>
        <v>87034.41</v>
      </c>
      <c r="E3" s="2110"/>
      <c r="F3" s="2184"/>
      <c r="G3" s="2110"/>
      <c r="H3" s="2110"/>
      <c r="I3" s="2110"/>
      <c r="J3" s="2110"/>
      <c r="K3" s="2185"/>
      <c r="L3" s="2186"/>
      <c r="M3" s="2187"/>
      <c r="N3" s="2187"/>
      <c r="O3" s="2187"/>
      <c r="P3" s="1587"/>
      <c r="Q3" s="1587"/>
      <c r="R3" s="1587"/>
      <c r="S3" s="1587"/>
      <c r="T3" s="1587"/>
      <c r="U3" s="1587"/>
      <c r="V3" s="1587"/>
      <c r="W3" s="1587"/>
      <c r="X3" s="1587"/>
      <c r="Y3" s="1587"/>
      <c r="Z3" s="1587"/>
      <c r="AA3" s="1587"/>
      <c r="AB3" s="1587"/>
      <c r="AC3" s="1589"/>
    </row>
    <row r="4" spans="1:29" ht="14.4">
      <c r="A4" s="512" t="s">
        <v>521</v>
      </c>
      <c r="B4" s="513"/>
      <c r="C4" s="3516" t="s">
        <v>522</v>
      </c>
      <c r="D4" s="3517"/>
      <c r="E4" s="3540" t="s">
        <v>523</v>
      </c>
      <c r="F4" s="3541"/>
      <c r="G4" s="3516" t="s">
        <v>524</v>
      </c>
      <c r="H4" s="3517"/>
      <c r="I4" s="3516" t="s">
        <v>525</v>
      </c>
      <c r="J4" s="3517"/>
      <c r="K4" s="853" t="s">
        <v>526</v>
      </c>
      <c r="L4" s="2116"/>
      <c r="M4" s="2117"/>
      <c r="N4" s="2117"/>
      <c r="O4" s="2117"/>
      <c r="P4" s="3518" t="s">
        <v>527</v>
      </c>
      <c r="Q4" s="3519"/>
      <c r="R4" s="3504" t="s">
        <v>523</v>
      </c>
      <c r="S4" s="3505"/>
      <c r="T4" s="3504" t="s">
        <v>524</v>
      </c>
      <c r="U4" s="3505"/>
      <c r="V4" s="3524" t="s">
        <v>525</v>
      </c>
      <c r="W4" s="3524"/>
      <c r="X4" s="3265"/>
      <c r="Y4" s="3504" t="s">
        <v>527</v>
      </c>
      <c r="Z4" s="3505"/>
      <c r="AA4" s="3499" t="s">
        <v>523</v>
      </c>
      <c r="AB4" s="3499" t="s">
        <v>524</v>
      </c>
      <c r="AC4" s="3499" t="s">
        <v>525</v>
      </c>
    </row>
    <row r="5" spans="1:29">
      <c r="A5" s="515"/>
      <c r="B5" s="516"/>
      <c r="C5" s="3591" t="s">
        <v>3304</v>
      </c>
      <c r="D5" s="3528"/>
      <c r="E5" s="3590" t="s">
        <v>3308</v>
      </c>
      <c r="F5" s="3543"/>
      <c r="G5" s="3591" t="s">
        <v>3340</v>
      </c>
      <c r="H5" s="3528"/>
      <c r="I5" s="3591" t="s">
        <v>3328</v>
      </c>
      <c r="J5" s="3528"/>
      <c r="K5" s="854"/>
      <c r="L5" s="2116"/>
      <c r="M5" s="2117"/>
      <c r="N5" s="2117"/>
      <c r="O5" s="2117"/>
      <c r="P5" s="3520"/>
      <c r="Q5" s="3521"/>
      <c r="R5" s="3506"/>
      <c r="S5" s="3507"/>
      <c r="T5" s="3506"/>
      <c r="U5" s="3507"/>
      <c r="V5" s="3524"/>
      <c r="W5" s="3524"/>
      <c r="X5" s="3265"/>
      <c r="Y5" s="3506"/>
      <c r="Z5" s="3507"/>
      <c r="AA5" s="3500"/>
      <c r="AB5" s="3500"/>
      <c r="AC5" s="3500"/>
    </row>
    <row r="6" spans="1:29" ht="15" thickBot="1">
      <c r="A6" s="517"/>
      <c r="B6" s="518"/>
      <c r="C6" s="3525" t="s">
        <v>2927</v>
      </c>
      <c r="D6" s="3526"/>
      <c r="E6" s="3544" t="s">
        <v>2927</v>
      </c>
      <c r="F6" s="3545"/>
      <c r="G6" s="3525" t="s">
        <v>2927</v>
      </c>
      <c r="H6" s="3526"/>
      <c r="I6" s="3525" t="s">
        <v>2927</v>
      </c>
      <c r="J6" s="3526"/>
      <c r="K6" s="854" t="s">
        <v>528</v>
      </c>
      <c r="L6" s="2116"/>
      <c r="M6" s="2117"/>
      <c r="N6" s="2117"/>
      <c r="O6" s="2117"/>
      <c r="P6" s="3522"/>
      <c r="Q6" s="3523"/>
      <c r="R6" s="3506"/>
      <c r="S6" s="3507"/>
      <c r="T6" s="3508"/>
      <c r="U6" s="3509"/>
      <c r="V6" s="3524"/>
      <c r="W6" s="3524"/>
      <c r="X6" s="3265"/>
      <c r="Y6" s="3508"/>
      <c r="Z6" s="3509"/>
      <c r="AA6" s="3501"/>
      <c r="AB6" s="3501"/>
      <c r="AC6" s="3501"/>
    </row>
    <row r="7" spans="1:29" s="1216" customFormat="1" ht="15" thickBot="1">
      <c r="A7" s="2865"/>
      <c r="B7" s="2872" t="s">
        <v>529</v>
      </c>
      <c r="C7" s="519">
        <f>'数据-取费表'!B2</f>
        <v>43889</v>
      </c>
      <c r="D7" s="520">
        <v>100</v>
      </c>
      <c r="E7" s="521">
        <f>C7</f>
        <v>43889</v>
      </c>
      <c r="F7" s="522">
        <f>SUMIF(58:58,YEAR(E7)&amp;"-"&amp;MONTH(E7),59:59)</f>
        <v>100</v>
      </c>
      <c r="G7" s="523">
        <f>C7</f>
        <v>43889</v>
      </c>
      <c r="H7" s="520">
        <f>SUMIF(58:58,YEAR(G7)&amp;"-"&amp;MONTH(G7),59:59)</f>
        <v>100</v>
      </c>
      <c r="I7" s="523">
        <f>C7</f>
        <v>43889</v>
      </c>
      <c r="J7" s="520">
        <f>SUMIF(58:58,YEAR(I7)&amp;"-"&amp;MONTH(I7),59:59)</f>
        <v>100</v>
      </c>
      <c r="K7" s="855"/>
      <c r="L7" s="2118"/>
      <c r="M7" s="2119"/>
      <c r="N7" s="2119"/>
      <c r="O7" s="2119"/>
      <c r="P7" s="3502" t="s">
        <v>530</v>
      </c>
      <c r="Q7" s="3511"/>
      <c r="R7" s="1554" t="s">
        <v>8</v>
      </c>
      <c r="S7" s="1555">
        <f t="shared" ref="S7:S15" si="0">F7</f>
        <v>100</v>
      </c>
      <c r="T7" s="1554" t="s">
        <v>8</v>
      </c>
      <c r="U7" s="1555">
        <f t="shared" ref="U7:U15" si="1">H7</f>
        <v>100</v>
      </c>
      <c r="V7" s="1554" t="s">
        <v>8</v>
      </c>
      <c r="W7" s="1555">
        <f t="shared" ref="W7:W15" si="2">J7</f>
        <v>100</v>
      </c>
      <c r="X7" s="1556"/>
      <c r="Y7" s="3502" t="s">
        <v>530</v>
      </c>
      <c r="Z7" s="3503"/>
      <c r="AA7" s="1557">
        <f>D7/F7</f>
        <v>1</v>
      </c>
      <c r="AB7" s="1557">
        <f>D7/H7</f>
        <v>1</v>
      </c>
      <c r="AC7" s="1557">
        <f>D7/J7</f>
        <v>1</v>
      </c>
    </row>
    <row r="8" spans="1:29" s="1216" customFormat="1" ht="15" thickBot="1">
      <c r="A8" s="2866"/>
      <c r="B8" s="2873" t="s">
        <v>531</v>
      </c>
      <c r="C8" s="525" t="s">
        <v>576</v>
      </c>
      <c r="D8" s="520">
        <v>100</v>
      </c>
      <c r="E8" s="856" t="s">
        <v>3141</v>
      </c>
      <c r="F8" s="522">
        <f>SUMIF(61:61,E8,62:62)-SUMIF(61:61,C8,62:62)+100</f>
        <v>100</v>
      </c>
      <c r="G8" s="856" t="s">
        <v>3141</v>
      </c>
      <c r="H8" s="520">
        <f>SUMIF(61:61,G8,62:62)-SUMIF(61:61,C8,62:62)+100</f>
        <v>100</v>
      </c>
      <c r="I8" s="856" t="s">
        <v>3141</v>
      </c>
      <c r="J8" s="520">
        <f>SUMIF(61:61,I8,62:62)-SUMIF(61:61,C8,62:62)+100</f>
        <v>100</v>
      </c>
      <c r="K8" s="855"/>
      <c r="L8" s="2118"/>
      <c r="M8" s="2119"/>
      <c r="N8" s="2119"/>
      <c r="O8" s="2119"/>
      <c r="P8" s="3502" t="s">
        <v>533</v>
      </c>
      <c r="Q8" s="3503"/>
      <c r="R8" s="1554" t="s">
        <v>8</v>
      </c>
      <c r="S8" s="1555">
        <f t="shared" si="0"/>
        <v>100</v>
      </c>
      <c r="T8" s="1554" t="s">
        <v>8</v>
      </c>
      <c r="U8" s="1555">
        <f t="shared" si="1"/>
        <v>100</v>
      </c>
      <c r="V8" s="1554" t="s">
        <v>8</v>
      </c>
      <c r="W8" s="1555">
        <f t="shared" si="2"/>
        <v>100</v>
      </c>
      <c r="X8" s="1556"/>
      <c r="Y8" s="3502" t="s">
        <v>533</v>
      </c>
      <c r="Z8" s="3503"/>
      <c r="AA8" s="1557">
        <f t="shared" ref="AA8:AA46" si="3">D8/F8</f>
        <v>1</v>
      </c>
      <c r="AB8" s="1557">
        <f t="shared" ref="AB8:AB46" si="4">D8/H8</f>
        <v>1</v>
      </c>
      <c r="AC8" s="1557">
        <f t="shared" ref="AC8:AC46" si="5">D8/J8</f>
        <v>1</v>
      </c>
    </row>
    <row r="9" spans="1:29" s="1216" customFormat="1" ht="14.4">
      <c r="A9" s="2867"/>
      <c r="B9" s="2874" t="s">
        <v>2752</v>
      </c>
      <c r="C9" s="3245" t="s">
        <v>3305</v>
      </c>
      <c r="D9" s="254">
        <v>100</v>
      </c>
      <c r="E9" s="858" t="s">
        <v>923</v>
      </c>
      <c r="F9" s="859">
        <f>SUMIF(63:63,E9,64:64)-SUMIF(63:63,C9,64:64)+100</f>
        <v>100</v>
      </c>
      <c r="G9" s="858" t="s">
        <v>923</v>
      </c>
      <c r="H9" s="254">
        <f>SUMIF(63:63,G9,64:64)-SUMIF(63:63,C9,64:64)+100</f>
        <v>100</v>
      </c>
      <c r="I9" s="858" t="s">
        <v>923</v>
      </c>
      <c r="J9" s="254">
        <f>SUMIF(63:63,I9,64:64)-SUMIF(63:63,C9,64:64)+100</f>
        <v>100</v>
      </c>
      <c r="K9" s="855"/>
      <c r="L9" s="2118"/>
      <c r="M9" s="2119"/>
      <c r="N9" s="2119"/>
      <c r="O9" s="2120"/>
      <c r="P9" s="3510" t="s">
        <v>535</v>
      </c>
      <c r="Q9" s="3262" t="str">
        <f t="shared" ref="Q9:Q15" si="6">B9</f>
        <v>用途</v>
      </c>
      <c r="R9" s="1554" t="s">
        <v>8</v>
      </c>
      <c r="S9" s="1555">
        <f t="shared" si="0"/>
        <v>100</v>
      </c>
      <c r="T9" s="1554" t="s">
        <v>8</v>
      </c>
      <c r="U9" s="1555">
        <f t="shared" si="1"/>
        <v>100</v>
      </c>
      <c r="V9" s="1554" t="s">
        <v>8</v>
      </c>
      <c r="W9" s="1555">
        <f t="shared" si="2"/>
        <v>100</v>
      </c>
      <c r="X9" s="1556"/>
      <c r="Y9" s="3467" t="s">
        <v>536</v>
      </c>
      <c r="Z9" s="3261" t="str">
        <f t="shared" ref="Z9:Z15" si="7">Q9</f>
        <v>用途</v>
      </c>
      <c r="AA9" s="1557">
        <f t="shared" si="3"/>
        <v>1</v>
      </c>
      <c r="AB9" s="1557">
        <f t="shared" si="4"/>
        <v>1</v>
      </c>
      <c r="AC9" s="1557">
        <f t="shared" si="5"/>
        <v>1</v>
      </c>
    </row>
    <row r="10" spans="1:29" s="1334" customFormat="1" ht="28.8">
      <c r="A10" s="2868"/>
      <c r="B10" s="2873" t="s">
        <v>2753</v>
      </c>
      <c r="C10" s="861" t="s">
        <v>3307</v>
      </c>
      <c r="D10" s="255">
        <v>100</v>
      </c>
      <c r="E10" s="861" t="s">
        <v>3307</v>
      </c>
      <c r="F10" s="863">
        <f>SUMIF(65:65,E10,66:66)-SUMIF(65:65,C10,66:66)+100</f>
        <v>100</v>
      </c>
      <c r="G10" s="861" t="s">
        <v>3341</v>
      </c>
      <c r="H10" s="255">
        <f>SUMIF(65:65,G10,66:66)-SUMIF(65:65,C10,66:66)+100</f>
        <v>104</v>
      </c>
      <c r="I10" s="861" t="s">
        <v>3307</v>
      </c>
      <c r="J10" s="255">
        <f>SUMIF(65:65,I10,66:66)-SUMIF(65:65,C10,66:66)+100</f>
        <v>100</v>
      </c>
      <c r="K10" s="864">
        <v>2</v>
      </c>
      <c r="L10" s="2121"/>
      <c r="M10" s="2161"/>
      <c r="N10" s="2161"/>
      <c r="O10" s="2122"/>
      <c r="P10" s="3510"/>
      <c r="Q10" s="3262" t="str">
        <f t="shared" si="6"/>
        <v>土地使用年限（年）</v>
      </c>
      <c r="R10" s="1554" t="s">
        <v>8</v>
      </c>
      <c r="S10" s="1555">
        <f t="shared" si="0"/>
        <v>100</v>
      </c>
      <c r="T10" s="1554" t="s">
        <v>8</v>
      </c>
      <c r="U10" s="1555">
        <f t="shared" si="1"/>
        <v>104</v>
      </c>
      <c r="V10" s="1554" t="s">
        <v>8</v>
      </c>
      <c r="W10" s="1555">
        <f t="shared" si="2"/>
        <v>100</v>
      </c>
      <c r="X10" s="1556"/>
      <c r="Y10" s="3467"/>
      <c r="Z10" s="3261" t="str">
        <f t="shared" si="7"/>
        <v>土地使用年限（年）</v>
      </c>
      <c r="AA10" s="1557">
        <f t="shared" si="3"/>
        <v>1</v>
      </c>
      <c r="AB10" s="1557">
        <f t="shared" si="4"/>
        <v>0.96153846153846156</v>
      </c>
      <c r="AC10" s="1557">
        <f t="shared" si="5"/>
        <v>1</v>
      </c>
    </row>
    <row r="11" spans="1:29" ht="15">
      <c r="A11" s="2869"/>
      <c r="B11" s="2873" t="s">
        <v>2754</v>
      </c>
      <c r="C11" s="3255">
        <v>5.5</v>
      </c>
      <c r="D11" s="255">
        <v>100</v>
      </c>
      <c r="E11" s="534">
        <v>2.11</v>
      </c>
      <c r="F11" s="863">
        <f>LOOKUP(E11,68:68,69:69)-LOOKUP(C11,68:68,69:69)+100</f>
        <v>106</v>
      </c>
      <c r="G11" s="533">
        <v>2.99</v>
      </c>
      <c r="H11" s="255">
        <f>LOOKUP(G11,68:68,69:69)-LOOKUP(C11,68:68,69:69)+100</f>
        <v>106</v>
      </c>
      <c r="I11" s="533">
        <v>2.9</v>
      </c>
      <c r="J11" s="255">
        <f>LOOKUP(I11,68:68,69:69)-LOOKUP(C11,68:68,69:69)+100</f>
        <v>106</v>
      </c>
      <c r="K11" s="864">
        <v>2</v>
      </c>
      <c r="L11" s="2123"/>
      <c r="M11" s="2117"/>
      <c r="N11" s="2117"/>
      <c r="O11" s="2124"/>
      <c r="P11" s="3510"/>
      <c r="Q11" s="3262" t="str">
        <f t="shared" si="6"/>
        <v>容积率</v>
      </c>
      <c r="R11" s="1554" t="s">
        <v>8</v>
      </c>
      <c r="S11" s="1555">
        <f t="shared" si="0"/>
        <v>106</v>
      </c>
      <c r="T11" s="1554" t="s">
        <v>8</v>
      </c>
      <c r="U11" s="1555">
        <f t="shared" si="1"/>
        <v>106</v>
      </c>
      <c r="V11" s="1554" t="s">
        <v>8</v>
      </c>
      <c r="W11" s="1555">
        <f t="shared" si="2"/>
        <v>106</v>
      </c>
      <c r="X11" s="1556"/>
      <c r="Y11" s="3467"/>
      <c r="Z11" s="3261" t="str">
        <f t="shared" si="7"/>
        <v>容积率</v>
      </c>
      <c r="AA11" s="1557">
        <f t="shared" si="3"/>
        <v>0.94339622641509435</v>
      </c>
      <c r="AB11" s="1557">
        <f t="shared" si="4"/>
        <v>0.94339622641509435</v>
      </c>
      <c r="AC11" s="1557">
        <f t="shared" si="5"/>
        <v>0.94339622641509435</v>
      </c>
    </row>
    <row r="12" spans="1:29" s="1216" customFormat="1" ht="15">
      <c r="A12" s="2870"/>
      <c r="B12" s="2876">
        <v>111</v>
      </c>
      <c r="C12" s="528"/>
      <c r="D12" s="538">
        <v>100</v>
      </c>
      <c r="E12" s="528"/>
      <c r="F12" s="863">
        <f>SUMIF(70:70,E12,71:71)-SUMIF(70:70,C12,71:71)+100</f>
        <v>100</v>
      </c>
      <c r="G12" s="528"/>
      <c r="H12" s="255">
        <f>SUMIF(70:70,G12,71:71)-SUMIF(70:70,C12,71:71)+100</f>
        <v>100</v>
      </c>
      <c r="I12" s="528"/>
      <c r="J12" s="255">
        <f>SUMIF(70:70,I12,71:71)-SUMIF(70:70,C12,71:71)+100</f>
        <v>100</v>
      </c>
      <c r="K12" s="865"/>
      <c r="L12" s="2118"/>
      <c r="M12" s="2119"/>
      <c r="N12" s="2119"/>
      <c r="O12" s="2120"/>
      <c r="P12" s="3510"/>
      <c r="Q12" s="3262">
        <f t="shared" si="6"/>
        <v>111</v>
      </c>
      <c r="R12" s="1554" t="s">
        <v>8</v>
      </c>
      <c r="S12" s="1555">
        <f t="shared" si="0"/>
        <v>100</v>
      </c>
      <c r="T12" s="1554" t="s">
        <v>8</v>
      </c>
      <c r="U12" s="1555">
        <f t="shared" si="1"/>
        <v>100</v>
      </c>
      <c r="V12" s="1554" t="s">
        <v>8</v>
      </c>
      <c r="W12" s="1555">
        <f t="shared" si="2"/>
        <v>100</v>
      </c>
      <c r="X12" s="1556"/>
      <c r="Y12" s="3467"/>
      <c r="Z12" s="3261">
        <f t="shared" si="7"/>
        <v>111</v>
      </c>
      <c r="AA12" s="1557">
        <f>D12/F12</f>
        <v>1</v>
      </c>
      <c r="AB12" s="1557">
        <f>D12/H12</f>
        <v>1</v>
      </c>
      <c r="AC12" s="1557">
        <f>D12/J12</f>
        <v>1</v>
      </c>
    </row>
    <row r="13" spans="1:29" ht="15">
      <c r="A13" s="2870"/>
      <c r="B13" s="2876">
        <v>111</v>
      </c>
      <c r="C13" s="539"/>
      <c r="D13" s="540">
        <v>100</v>
      </c>
      <c r="E13" s="539"/>
      <c r="F13" s="863">
        <f>SUMIF(72:72,E13,73:73)-SUMIF(72:72,C13,73:73)+100</f>
        <v>100</v>
      </c>
      <c r="G13" s="539"/>
      <c r="H13" s="540">
        <f>SUMIF(72:72,G13,73:73)-SUMIF(72:72,C13,73:73)+100</f>
        <v>100</v>
      </c>
      <c r="I13" s="539"/>
      <c r="J13" s="540">
        <f>SUMIF(72:72,I13,73:73)-SUMIF(72:72,C13,73:73)+100</f>
        <v>100</v>
      </c>
      <c r="K13" s="865"/>
      <c r="L13" s="2125"/>
      <c r="M13" s="2117"/>
      <c r="N13" s="2117"/>
      <c r="O13" s="2124"/>
      <c r="P13" s="3510"/>
      <c r="Q13" s="3262">
        <f t="shared" si="6"/>
        <v>111</v>
      </c>
      <c r="R13" s="1554" t="s">
        <v>8</v>
      </c>
      <c r="S13" s="1555">
        <f t="shared" si="0"/>
        <v>100</v>
      </c>
      <c r="T13" s="1554" t="s">
        <v>8</v>
      </c>
      <c r="U13" s="1555">
        <f t="shared" si="1"/>
        <v>100</v>
      </c>
      <c r="V13" s="1554" t="s">
        <v>8</v>
      </c>
      <c r="W13" s="1555">
        <f t="shared" si="2"/>
        <v>100</v>
      </c>
      <c r="X13" s="1556"/>
      <c r="Y13" s="3467"/>
      <c r="Z13" s="3261">
        <f t="shared" si="7"/>
        <v>111</v>
      </c>
      <c r="AA13" s="1557">
        <f t="shared" si="3"/>
        <v>1</v>
      </c>
      <c r="AB13" s="1557">
        <f t="shared" si="4"/>
        <v>1</v>
      </c>
      <c r="AC13" s="1557">
        <f t="shared" si="5"/>
        <v>1</v>
      </c>
    </row>
    <row r="14" spans="1:29" ht="15.6" thickBot="1">
      <c r="A14" s="2871"/>
      <c r="B14" s="2877">
        <v>111</v>
      </c>
      <c r="C14" s="545"/>
      <c r="D14" s="546">
        <v>100</v>
      </c>
      <c r="E14" s="545"/>
      <c r="F14" s="866">
        <f>SUMIF(74:74,E14,75:75)-SUMIF(74:74,C14,75:75)+100</f>
        <v>100</v>
      </c>
      <c r="G14" s="545"/>
      <c r="H14" s="546">
        <f>SUMIF(74:74,G14,75:75)-SUMIF(74:74,C14,75:75)+100</f>
        <v>100</v>
      </c>
      <c r="I14" s="545"/>
      <c r="J14" s="546">
        <f>SUMIF(74:74,I14,75:75)-SUMIF(74:74,C14,75:75)+100</f>
        <v>100</v>
      </c>
      <c r="K14" s="865"/>
      <c r="L14" s="2125"/>
      <c r="M14" s="2117"/>
      <c r="N14" s="2117"/>
      <c r="O14" s="2124"/>
      <c r="P14" s="3510"/>
      <c r="Q14" s="3262">
        <f t="shared" si="6"/>
        <v>111</v>
      </c>
      <c r="R14" s="1554" t="s">
        <v>8</v>
      </c>
      <c r="S14" s="1555">
        <f t="shared" si="0"/>
        <v>100</v>
      </c>
      <c r="T14" s="1554" t="s">
        <v>8</v>
      </c>
      <c r="U14" s="1555">
        <f t="shared" si="1"/>
        <v>100</v>
      </c>
      <c r="V14" s="1554" t="s">
        <v>8</v>
      </c>
      <c r="W14" s="1555">
        <f t="shared" si="2"/>
        <v>100</v>
      </c>
      <c r="X14" s="1556"/>
      <c r="Y14" s="3467"/>
      <c r="Z14" s="3261">
        <f t="shared" si="7"/>
        <v>111</v>
      </c>
      <c r="AA14" s="1557">
        <f t="shared" si="3"/>
        <v>1</v>
      </c>
      <c r="AB14" s="1557">
        <f t="shared" si="4"/>
        <v>1</v>
      </c>
      <c r="AC14" s="1557">
        <f t="shared" si="5"/>
        <v>1</v>
      </c>
    </row>
    <row r="15" spans="1:29" ht="15">
      <c r="A15" s="2863" t="s">
        <v>2750</v>
      </c>
      <c r="B15" s="166" t="s">
        <v>295</v>
      </c>
      <c r="C15" s="867" t="str">
        <f>估价对象房地状况!C3</f>
        <v>较好</v>
      </c>
      <c r="D15" s="549">
        <v>100</v>
      </c>
      <c r="E15" s="550"/>
      <c r="F15" s="551">
        <f>SUMIF(76:76,E16,77:77)-SUMIF(76:76,C16,77:77)+100</f>
        <v>100</v>
      </c>
      <c r="G15" s="552"/>
      <c r="H15" s="549">
        <f>SUMIF(76:76,G16,77:77)-SUMIF(76:76,C16,77:77)+100</f>
        <v>100</v>
      </c>
      <c r="I15" s="550"/>
      <c r="J15" s="549">
        <f>SUMIF(76:76,I16,77:77)-SUMIF(76:76,C16,77:77)+100</f>
        <v>100</v>
      </c>
      <c r="K15" s="868">
        <v>2</v>
      </c>
      <c r="L15" s="2125"/>
      <c r="M15" s="2117"/>
      <c r="N15" s="2117"/>
      <c r="O15" s="2124"/>
      <c r="P15" s="3512" t="s">
        <v>540</v>
      </c>
      <c r="Q15" s="3263" t="str">
        <f t="shared" si="6"/>
        <v>居住社区成熟度</v>
      </c>
      <c r="R15" s="1559" t="s">
        <v>8</v>
      </c>
      <c r="S15" s="1560">
        <f t="shared" si="0"/>
        <v>100</v>
      </c>
      <c r="T15" s="1559" t="s">
        <v>8</v>
      </c>
      <c r="U15" s="1560">
        <f t="shared" si="1"/>
        <v>100</v>
      </c>
      <c r="V15" s="1559" t="s">
        <v>8</v>
      </c>
      <c r="W15" s="1560">
        <f t="shared" si="2"/>
        <v>100</v>
      </c>
      <c r="X15" s="3265"/>
      <c r="Y15" s="3512" t="s">
        <v>540</v>
      </c>
      <c r="Z15" s="3264" t="str">
        <f t="shared" si="7"/>
        <v>居住社区成熟度</v>
      </c>
      <c r="AA15" s="3266">
        <f t="shared" si="3"/>
        <v>1</v>
      </c>
      <c r="AB15" s="3266">
        <f t="shared" si="4"/>
        <v>1</v>
      </c>
      <c r="AC15" s="3266">
        <f t="shared" si="5"/>
        <v>1</v>
      </c>
    </row>
    <row r="16" spans="1:29" ht="15">
      <c r="A16" s="532"/>
      <c r="B16" s="869"/>
      <c r="C16" s="576" t="s">
        <v>3134</v>
      </c>
      <c r="D16" s="555"/>
      <c r="E16" s="576" t="s">
        <v>3134</v>
      </c>
      <c r="F16" s="557"/>
      <c r="G16" s="576" t="s">
        <v>3134</v>
      </c>
      <c r="H16" s="559"/>
      <c r="I16" s="576" t="s">
        <v>3134</v>
      </c>
      <c r="J16" s="555"/>
      <c r="K16" s="870"/>
      <c r="L16" s="2125"/>
      <c r="M16" s="2117"/>
      <c r="N16" s="2117"/>
      <c r="O16" s="2124"/>
      <c r="P16" s="3513"/>
      <c r="Q16" s="3263"/>
      <c r="R16" s="1559"/>
      <c r="S16" s="1560"/>
      <c r="T16" s="1559"/>
      <c r="U16" s="1560"/>
      <c r="V16" s="1559"/>
      <c r="W16" s="1560"/>
      <c r="X16" s="3265"/>
      <c r="Y16" s="3513"/>
      <c r="Z16" s="3264"/>
      <c r="AA16" s="3266">
        <v>1</v>
      </c>
      <c r="AB16" s="3266">
        <v>1</v>
      </c>
      <c r="AC16" s="3266">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68">
        <v>2</v>
      </c>
      <c r="L17" s="2125"/>
      <c r="M17" s="2117"/>
      <c r="N17" s="2117"/>
      <c r="O17" s="2124"/>
      <c r="P17" s="3513"/>
      <c r="Q17" s="3263" t="str">
        <f>B17</f>
        <v>交通便捷度</v>
      </c>
      <c r="R17" s="1559" t="s">
        <v>8</v>
      </c>
      <c r="S17" s="1560">
        <f>F17</f>
        <v>100</v>
      </c>
      <c r="T17" s="1559" t="s">
        <v>8</v>
      </c>
      <c r="U17" s="1560">
        <f>H17</f>
        <v>100</v>
      </c>
      <c r="V17" s="1559" t="s">
        <v>8</v>
      </c>
      <c r="W17" s="1560">
        <f>J17</f>
        <v>100</v>
      </c>
      <c r="X17" s="3265"/>
      <c r="Y17" s="3513"/>
      <c r="Z17" s="3264" t="str">
        <f>Q17</f>
        <v>交通便捷度</v>
      </c>
      <c r="AA17" s="3266">
        <f t="shared" si="3"/>
        <v>1</v>
      </c>
      <c r="AB17" s="3266">
        <f t="shared" si="4"/>
        <v>1</v>
      </c>
      <c r="AC17" s="3266">
        <f t="shared" si="5"/>
        <v>1</v>
      </c>
    </row>
    <row r="18" spans="1:29" ht="15">
      <c r="A18" s="532"/>
      <c r="B18" s="595"/>
      <c r="C18" s="873" t="s">
        <v>3134</v>
      </c>
      <c r="D18" s="559"/>
      <c r="E18" s="568" t="s">
        <v>3134</v>
      </c>
      <c r="F18" s="563"/>
      <c r="G18" s="576" t="s">
        <v>3134</v>
      </c>
      <c r="H18" s="555"/>
      <c r="I18" s="576" t="s">
        <v>3134</v>
      </c>
      <c r="J18" s="555"/>
      <c r="K18" s="870"/>
      <c r="L18" s="2125"/>
      <c r="M18" s="2117"/>
      <c r="N18" s="2117"/>
      <c r="O18" s="2124"/>
      <c r="P18" s="3513"/>
      <c r="Q18" s="3263"/>
      <c r="R18" s="1559"/>
      <c r="S18" s="1560"/>
      <c r="T18" s="1559"/>
      <c r="U18" s="1560"/>
      <c r="V18" s="1559"/>
      <c r="W18" s="1560"/>
      <c r="X18" s="3265"/>
      <c r="Y18" s="3513"/>
      <c r="Z18" s="3264"/>
      <c r="AA18" s="3266">
        <v>1</v>
      </c>
      <c r="AB18" s="3266">
        <v>1</v>
      </c>
      <c r="AC18" s="3266">
        <v>1</v>
      </c>
    </row>
    <row r="19" spans="1:29" ht="15">
      <c r="A19" s="532"/>
      <c r="B19" s="2562" t="s">
        <v>2543</v>
      </c>
      <c r="C19" s="872" t="str">
        <f>估价对象房地状况!C7</f>
        <v>一般</v>
      </c>
      <c r="D19" s="565">
        <v>100</v>
      </c>
      <c r="E19" s="570"/>
      <c r="F19" s="571">
        <f>SUMIF(80:80,E20,81:81)-SUMIF(80:80,C20,81:81)+100</f>
        <v>100</v>
      </c>
      <c r="G19" s="572"/>
      <c r="H19" s="559">
        <f>SUMIF(80:80,G20,81:81)-SUMIF(80:80,C20,81:81)+100</f>
        <v>100</v>
      </c>
      <c r="I19" s="570"/>
      <c r="J19" s="559">
        <f>SUMIF(80:80,I20,81:81)-SUMIF(80:80,C20,81:81)+100</f>
        <v>100</v>
      </c>
      <c r="K19" s="868">
        <v>2</v>
      </c>
      <c r="L19" s="2125"/>
      <c r="M19" s="2117"/>
      <c r="N19" s="2117"/>
      <c r="O19" s="2124"/>
      <c r="P19" s="3513"/>
      <c r="Q19" s="3263" t="str">
        <f>B19</f>
        <v>公共配套设施</v>
      </c>
      <c r="R19" s="1559" t="s">
        <v>8</v>
      </c>
      <c r="S19" s="1560">
        <f>F19</f>
        <v>100</v>
      </c>
      <c r="T19" s="1559" t="s">
        <v>8</v>
      </c>
      <c r="U19" s="1560">
        <f>H19</f>
        <v>100</v>
      </c>
      <c r="V19" s="1559" t="s">
        <v>8</v>
      </c>
      <c r="W19" s="1560">
        <f>J19</f>
        <v>100</v>
      </c>
      <c r="X19" s="3265"/>
      <c r="Y19" s="3513"/>
      <c r="Z19" s="3264" t="str">
        <f>Q19</f>
        <v>公共配套设施</v>
      </c>
      <c r="AA19" s="3266">
        <f t="shared" si="3"/>
        <v>1</v>
      </c>
      <c r="AB19" s="3266">
        <f t="shared" si="4"/>
        <v>1</v>
      </c>
      <c r="AC19" s="3266">
        <f t="shared" si="5"/>
        <v>1</v>
      </c>
    </row>
    <row r="20" spans="1:29" ht="15">
      <c r="A20" s="532"/>
      <c r="B20" s="595"/>
      <c r="C20" s="576" t="s">
        <v>3329</v>
      </c>
      <c r="D20" s="555"/>
      <c r="E20" s="576" t="s">
        <v>3329</v>
      </c>
      <c r="F20" s="557"/>
      <c r="G20" s="576" t="s">
        <v>3329</v>
      </c>
      <c r="H20" s="555"/>
      <c r="I20" s="576" t="s">
        <v>3329</v>
      </c>
      <c r="J20" s="555"/>
      <c r="K20" s="870"/>
      <c r="L20" s="2125"/>
      <c r="M20" s="2117"/>
      <c r="N20" s="2117"/>
      <c r="O20" s="2124"/>
      <c r="P20" s="3513"/>
      <c r="Q20" s="3263"/>
      <c r="R20" s="1559"/>
      <c r="S20" s="1560"/>
      <c r="T20" s="1559"/>
      <c r="U20" s="1560"/>
      <c r="V20" s="1559"/>
      <c r="W20" s="1560"/>
      <c r="X20" s="3265"/>
      <c r="Y20" s="3513"/>
      <c r="Z20" s="3264"/>
      <c r="AA20" s="3266">
        <v>1</v>
      </c>
      <c r="AB20" s="3266">
        <v>1</v>
      </c>
      <c r="AC20" s="3266">
        <v>1</v>
      </c>
    </row>
    <row r="21" spans="1:29" ht="15">
      <c r="A21" s="532"/>
      <c r="B21" s="2555" t="s">
        <v>2544</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2</v>
      </c>
      <c r="L21" s="2125"/>
      <c r="M21" s="2117"/>
      <c r="N21" s="2117"/>
      <c r="O21" s="2124"/>
      <c r="P21" s="3513"/>
      <c r="Q21" s="3263" t="str">
        <f>B21</f>
        <v>基础设施水平</v>
      </c>
      <c r="R21" s="1559" t="s">
        <v>8</v>
      </c>
      <c r="S21" s="1560">
        <f>F21</f>
        <v>100</v>
      </c>
      <c r="T21" s="1559" t="s">
        <v>8</v>
      </c>
      <c r="U21" s="1560">
        <f>H21</f>
        <v>100</v>
      </c>
      <c r="V21" s="1559" t="s">
        <v>8</v>
      </c>
      <c r="W21" s="1560">
        <f>J21</f>
        <v>100</v>
      </c>
      <c r="X21" s="3265"/>
      <c r="Y21" s="3513"/>
      <c r="Z21" s="3264" t="str">
        <f>Q21</f>
        <v>基础设施水平</v>
      </c>
      <c r="AA21" s="3266">
        <f t="shared" ref="AA21" si="8">D21/F21</f>
        <v>1</v>
      </c>
      <c r="AB21" s="3266">
        <f t="shared" ref="AB21" si="9">D21/H21</f>
        <v>1</v>
      </c>
      <c r="AC21" s="3266">
        <f t="shared" ref="AC21" si="10">D21/J21</f>
        <v>1</v>
      </c>
    </row>
    <row r="22" spans="1:29" ht="15">
      <c r="A22" s="532"/>
      <c r="B22" s="922"/>
      <c r="C22" s="873" t="s">
        <v>3136</v>
      </c>
      <c r="D22" s="555"/>
      <c r="E22" s="873" t="s">
        <v>3136</v>
      </c>
      <c r="F22" s="557"/>
      <c r="G22" s="873" t="s">
        <v>3136</v>
      </c>
      <c r="H22" s="555"/>
      <c r="I22" s="873" t="s">
        <v>3136</v>
      </c>
      <c r="J22" s="555"/>
      <c r="K22" s="2561"/>
      <c r="L22" s="2125"/>
      <c r="M22" s="2117"/>
      <c r="N22" s="2117"/>
      <c r="O22" s="2124"/>
      <c r="P22" s="3513"/>
      <c r="Q22" s="3263"/>
      <c r="R22" s="1559"/>
      <c r="S22" s="1560"/>
      <c r="T22" s="1559"/>
      <c r="U22" s="1560"/>
      <c r="V22" s="1559"/>
      <c r="W22" s="1560"/>
      <c r="X22" s="3265"/>
      <c r="Y22" s="3513"/>
      <c r="Z22" s="3264"/>
      <c r="AA22" s="3266">
        <v>1</v>
      </c>
      <c r="AB22" s="3266">
        <v>1</v>
      </c>
      <c r="AC22" s="3266">
        <v>1</v>
      </c>
    </row>
    <row r="23" spans="1:29" ht="15">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68">
        <v>2</v>
      </c>
      <c r="L23" s="2125"/>
      <c r="M23" s="2117"/>
      <c r="N23" s="2117"/>
      <c r="O23" s="2124"/>
      <c r="P23" s="3513"/>
      <c r="Q23" s="3263" t="str">
        <f>B23</f>
        <v>自然及人文环境</v>
      </c>
      <c r="R23" s="1559" t="s">
        <v>8</v>
      </c>
      <c r="S23" s="1560">
        <f>F23</f>
        <v>100</v>
      </c>
      <c r="T23" s="1559" t="s">
        <v>8</v>
      </c>
      <c r="U23" s="1560">
        <f>H23</f>
        <v>100</v>
      </c>
      <c r="V23" s="1559" t="s">
        <v>8</v>
      </c>
      <c r="W23" s="1560">
        <f>J23</f>
        <v>100</v>
      </c>
      <c r="X23" s="3265"/>
      <c r="Y23" s="3513"/>
      <c r="Z23" s="3264" t="str">
        <f>Q23</f>
        <v>自然及人文环境</v>
      </c>
      <c r="AA23" s="3266">
        <f t="shared" si="3"/>
        <v>1</v>
      </c>
      <c r="AB23" s="3266">
        <f t="shared" si="4"/>
        <v>1</v>
      </c>
      <c r="AC23" s="3266">
        <f t="shared" si="5"/>
        <v>1</v>
      </c>
    </row>
    <row r="24" spans="1:29" ht="15">
      <c r="A24" s="532"/>
      <c r="B24" s="595"/>
      <c r="C24" s="576" t="s">
        <v>3329</v>
      </c>
      <c r="D24" s="555"/>
      <c r="E24" s="576" t="s">
        <v>3329</v>
      </c>
      <c r="F24" s="557"/>
      <c r="G24" s="576" t="s">
        <v>3329</v>
      </c>
      <c r="H24" s="555"/>
      <c r="I24" s="576" t="s">
        <v>3329</v>
      </c>
      <c r="J24" s="555"/>
      <c r="K24" s="870"/>
      <c r="L24" s="2125"/>
      <c r="M24" s="2117"/>
      <c r="N24" s="2117"/>
      <c r="O24" s="2124"/>
      <c r="P24" s="3513"/>
      <c r="Q24" s="3263"/>
      <c r="R24" s="1559"/>
      <c r="S24" s="1560"/>
      <c r="T24" s="1559"/>
      <c r="U24" s="1560"/>
      <c r="V24" s="1559"/>
      <c r="W24" s="1560"/>
      <c r="X24" s="3265"/>
      <c r="Y24" s="3513"/>
      <c r="Z24" s="3264"/>
      <c r="AA24" s="3266">
        <v>1</v>
      </c>
      <c r="AB24" s="3266">
        <v>1</v>
      </c>
      <c r="AC24" s="3266">
        <v>1</v>
      </c>
    </row>
    <row r="25" spans="1:29" ht="15">
      <c r="A25" s="532"/>
      <c r="B25" s="1878" t="s">
        <v>2253</v>
      </c>
      <c r="C25" s="574"/>
      <c r="D25" s="540">
        <v>100</v>
      </c>
      <c r="E25" s="874"/>
      <c r="F25" s="575">
        <f>SUMIF(86:86,E25,87:87)-SUMIF(86:86,C25,87:87)+100</f>
        <v>100</v>
      </c>
      <c r="G25" s="599"/>
      <c r="H25" s="540">
        <f>SUMIF(86:86,G25,87:87)-SUMIF(86:86,C25,87:87)+100</f>
        <v>100</v>
      </c>
      <c r="I25" s="874"/>
      <c r="J25" s="540">
        <f>SUMIF(86:86,I25,87:87)-SUMIF(86:86,C25,87:87)+100</f>
        <v>100</v>
      </c>
      <c r="K25" s="864">
        <v>2</v>
      </c>
      <c r="L25" s="2125"/>
      <c r="M25" s="2117"/>
      <c r="N25" s="2117"/>
      <c r="O25" s="2124"/>
      <c r="P25" s="3513"/>
      <c r="Q25" s="3263" t="str">
        <f t="shared" ref="Q25:Q46" si="11">B25</f>
        <v>楼层-1</v>
      </c>
      <c r="R25" s="1559" t="s">
        <v>8</v>
      </c>
      <c r="S25" s="1560">
        <f>F25</f>
        <v>100</v>
      </c>
      <c r="T25" s="1559" t="s">
        <v>8</v>
      </c>
      <c r="U25" s="1560">
        <f>H25</f>
        <v>100</v>
      </c>
      <c r="V25" s="1559" t="s">
        <v>8</v>
      </c>
      <c r="W25" s="1560">
        <f>J25</f>
        <v>100</v>
      </c>
      <c r="X25" s="3265"/>
      <c r="Y25" s="3513"/>
      <c r="Z25" s="3264" t="str">
        <f>Q25</f>
        <v>楼层-1</v>
      </c>
      <c r="AA25" s="3266">
        <f t="shared" si="3"/>
        <v>1</v>
      </c>
      <c r="AB25" s="3266">
        <f t="shared" si="4"/>
        <v>1</v>
      </c>
      <c r="AC25" s="326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v>2</v>
      </c>
      <c r="L26" s="2125"/>
      <c r="M26" s="2117"/>
      <c r="N26" s="2117"/>
      <c r="O26" s="2124"/>
      <c r="P26" s="3513"/>
      <c r="Q26" s="3263" t="str">
        <f t="shared" si="11"/>
        <v>朝向</v>
      </c>
      <c r="R26" s="1559" t="s">
        <v>8</v>
      </c>
      <c r="S26" s="1560">
        <f>F26</f>
        <v>100</v>
      </c>
      <c r="T26" s="1559" t="s">
        <v>8</v>
      </c>
      <c r="U26" s="1560">
        <f>H26</f>
        <v>100</v>
      </c>
      <c r="V26" s="1559" t="s">
        <v>8</v>
      </c>
      <c r="W26" s="1560">
        <f>J26</f>
        <v>100</v>
      </c>
      <c r="X26" s="3265"/>
      <c r="Y26" s="3513"/>
      <c r="Z26" s="3264" t="str">
        <f>Q26</f>
        <v>朝向</v>
      </c>
      <c r="AA26" s="3266">
        <f t="shared" si="3"/>
        <v>1</v>
      </c>
      <c r="AB26" s="3266">
        <f t="shared" si="4"/>
        <v>1</v>
      </c>
      <c r="AC26" s="3266">
        <f t="shared" si="5"/>
        <v>1</v>
      </c>
    </row>
    <row r="27" spans="1:29" s="1216" customFormat="1" ht="15">
      <c r="A27" s="536"/>
      <c r="B27" s="537" t="s">
        <v>724</v>
      </c>
      <c r="C27" s="3246" t="s">
        <v>3137</v>
      </c>
      <c r="D27" s="875">
        <v>100</v>
      </c>
      <c r="E27" s="3247" t="s">
        <v>3313</v>
      </c>
      <c r="F27" s="876">
        <f>SUMIF(90:90,E27,91:91)-SUMIF(90:90,C27,91:91)+100</f>
        <v>98</v>
      </c>
      <c r="G27" s="3247" t="s">
        <v>3313</v>
      </c>
      <c r="H27" s="875">
        <f>SUMIF(90:90,G27,91:91)-SUMIF(90:90,C27,91:91)+100</f>
        <v>98</v>
      </c>
      <c r="I27" s="3246" t="s">
        <v>3137</v>
      </c>
      <c r="J27" s="875">
        <f>SUMIF(90:90,I27,91:91)-SUMIF(90:90,C27,91:91)+100</f>
        <v>100</v>
      </c>
      <c r="K27" s="865"/>
      <c r="L27" s="2118"/>
      <c r="M27" s="2119"/>
      <c r="N27" s="2119"/>
      <c r="O27" s="2120"/>
      <c r="P27" s="3513"/>
      <c r="Q27" s="3262" t="str">
        <f t="shared" si="11"/>
        <v>道路级别</v>
      </c>
      <c r="R27" s="1554" t="s">
        <v>8</v>
      </c>
      <c r="S27" s="1555">
        <f>F27</f>
        <v>98</v>
      </c>
      <c r="T27" s="1554" t="s">
        <v>8</v>
      </c>
      <c r="U27" s="1555">
        <f>H27</f>
        <v>98</v>
      </c>
      <c r="V27" s="1554" t="s">
        <v>8</v>
      </c>
      <c r="W27" s="1555">
        <f>J27</f>
        <v>100</v>
      </c>
      <c r="X27" s="1556"/>
      <c r="Y27" s="3513"/>
      <c r="Z27" s="3261" t="str">
        <f>Q27</f>
        <v>道路级别</v>
      </c>
      <c r="AA27" s="3266">
        <f>D27/F27</f>
        <v>1.0204081632653061</v>
      </c>
      <c r="AB27" s="3266">
        <f>D27/H27</f>
        <v>1.0204081632653061</v>
      </c>
      <c r="AC27" s="326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5"/>
      <c r="M28" s="2117"/>
      <c r="N28" s="2117"/>
      <c r="O28" s="2124"/>
      <c r="P28" s="3513"/>
      <c r="Q28" s="3263">
        <f t="shared" si="11"/>
        <v>111</v>
      </c>
      <c r="R28" s="1559" t="s">
        <v>8</v>
      </c>
      <c r="S28" s="1560">
        <f t="shared" ref="S28:S46" si="12">F28</f>
        <v>100</v>
      </c>
      <c r="T28" s="1559" t="s">
        <v>8</v>
      </c>
      <c r="U28" s="1560">
        <f t="shared" ref="U28:U46" si="13">H28</f>
        <v>100</v>
      </c>
      <c r="V28" s="1559" t="s">
        <v>8</v>
      </c>
      <c r="W28" s="1560">
        <f t="shared" ref="W28:W46" si="14">J28</f>
        <v>100</v>
      </c>
      <c r="X28" s="3265"/>
      <c r="Y28" s="3513"/>
      <c r="Z28" s="3264">
        <f t="shared" ref="Z28:Z46" si="15">Q28</f>
        <v>111</v>
      </c>
      <c r="AA28" s="3266">
        <f t="shared" si="3"/>
        <v>1</v>
      </c>
      <c r="AB28" s="3266">
        <f t="shared" si="4"/>
        <v>1</v>
      </c>
      <c r="AC28" s="326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5"/>
      <c r="M29" s="2117"/>
      <c r="N29" s="2117"/>
      <c r="O29" s="2124"/>
      <c r="P29" s="3513"/>
      <c r="Q29" s="3263">
        <f t="shared" si="11"/>
        <v>111</v>
      </c>
      <c r="R29" s="1559" t="s">
        <v>8</v>
      </c>
      <c r="S29" s="1560">
        <f t="shared" si="12"/>
        <v>100</v>
      </c>
      <c r="T29" s="1559" t="s">
        <v>8</v>
      </c>
      <c r="U29" s="1560">
        <f t="shared" si="13"/>
        <v>100</v>
      </c>
      <c r="V29" s="1559" t="s">
        <v>8</v>
      </c>
      <c r="W29" s="1560">
        <f t="shared" si="14"/>
        <v>100</v>
      </c>
      <c r="X29" s="3265"/>
      <c r="Y29" s="3513"/>
      <c r="Z29" s="3264">
        <f t="shared" si="15"/>
        <v>111</v>
      </c>
      <c r="AA29" s="3266">
        <f t="shared" si="3"/>
        <v>1</v>
      </c>
      <c r="AB29" s="3266">
        <f t="shared" si="4"/>
        <v>1</v>
      </c>
      <c r="AC29" s="326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5"/>
      <c r="M30" s="2117"/>
      <c r="N30" s="2117"/>
      <c r="O30" s="2124"/>
      <c r="P30" s="3513"/>
      <c r="Q30" s="3263">
        <f t="shared" si="11"/>
        <v>111</v>
      </c>
      <c r="R30" s="1559" t="s">
        <v>8</v>
      </c>
      <c r="S30" s="1560">
        <f t="shared" si="12"/>
        <v>100</v>
      </c>
      <c r="T30" s="1559" t="s">
        <v>8</v>
      </c>
      <c r="U30" s="1560">
        <f t="shared" si="13"/>
        <v>100</v>
      </c>
      <c r="V30" s="1559" t="s">
        <v>8</v>
      </c>
      <c r="W30" s="1560">
        <f t="shared" si="14"/>
        <v>100</v>
      </c>
      <c r="X30" s="3265"/>
      <c r="Y30" s="3513"/>
      <c r="Z30" s="3264">
        <f t="shared" si="15"/>
        <v>111</v>
      </c>
      <c r="AA30" s="3266">
        <f t="shared" si="3"/>
        <v>1</v>
      </c>
      <c r="AB30" s="3266">
        <f t="shared" si="4"/>
        <v>1</v>
      </c>
      <c r="AC30" s="3266">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5"/>
      <c r="M31" s="2117"/>
      <c r="N31" s="2117"/>
      <c r="O31" s="2124"/>
      <c r="P31" s="3513"/>
      <c r="Q31" s="3263">
        <f t="shared" si="11"/>
        <v>111</v>
      </c>
      <c r="R31" s="1559" t="s">
        <v>8</v>
      </c>
      <c r="S31" s="1560">
        <f t="shared" si="12"/>
        <v>100</v>
      </c>
      <c r="T31" s="1559" t="s">
        <v>8</v>
      </c>
      <c r="U31" s="1560">
        <f t="shared" si="13"/>
        <v>100</v>
      </c>
      <c r="V31" s="1559" t="s">
        <v>8</v>
      </c>
      <c r="W31" s="1560">
        <f t="shared" si="14"/>
        <v>100</v>
      </c>
      <c r="X31" s="3265"/>
      <c r="Y31" s="3513"/>
      <c r="Z31" s="3264">
        <f t="shared" si="15"/>
        <v>111</v>
      </c>
      <c r="AA31" s="3266">
        <f t="shared" si="3"/>
        <v>1</v>
      </c>
      <c r="AB31" s="3266">
        <f t="shared" si="4"/>
        <v>1</v>
      </c>
      <c r="AC31" s="3266">
        <f t="shared" si="5"/>
        <v>1</v>
      </c>
    </row>
    <row r="32" spans="1:29" ht="15">
      <c r="A32" s="2860" t="s">
        <v>2751</v>
      </c>
      <c r="B32" s="3256" t="s">
        <v>725</v>
      </c>
      <c r="C32" s="878" t="s">
        <v>3337</v>
      </c>
      <c r="D32" s="597">
        <v>100</v>
      </c>
      <c r="E32" s="879" t="s">
        <v>3155</v>
      </c>
      <c r="F32" s="575">
        <f>SUMIF(100:100,E32,101:101)-SUMIF(100:100,C32,101:101)+100</f>
        <v>98</v>
      </c>
      <c r="G32" s="878" t="s">
        <v>3155</v>
      </c>
      <c r="H32" s="597">
        <f>SUMIF(100:100,G32,101:101)-SUMIF(100:100,C32,101:101)+100</f>
        <v>98</v>
      </c>
      <c r="I32" s="879" t="s">
        <v>3155</v>
      </c>
      <c r="J32" s="540">
        <f>SUMIF(100:100,I32,101:101)-SUMIF(100:100,C32,101:101)+100</f>
        <v>98</v>
      </c>
      <c r="K32" s="864">
        <v>2</v>
      </c>
      <c r="L32" s="2125"/>
      <c r="M32" s="2117"/>
      <c r="N32" s="2117"/>
      <c r="O32" s="2124"/>
      <c r="P32" s="3514" t="s">
        <v>550</v>
      </c>
      <c r="Q32" s="3263" t="str">
        <f t="shared" si="11"/>
        <v>建筑类型</v>
      </c>
      <c r="R32" s="1559" t="s">
        <v>8</v>
      </c>
      <c r="S32" s="1560">
        <f t="shared" si="12"/>
        <v>98</v>
      </c>
      <c r="T32" s="1559" t="s">
        <v>8</v>
      </c>
      <c r="U32" s="1560">
        <f t="shared" si="13"/>
        <v>98</v>
      </c>
      <c r="V32" s="1559" t="s">
        <v>8</v>
      </c>
      <c r="W32" s="1560">
        <f t="shared" si="14"/>
        <v>98</v>
      </c>
      <c r="X32" s="3265"/>
      <c r="Y32" s="3515" t="s">
        <v>550</v>
      </c>
      <c r="Z32" s="3264" t="str">
        <f t="shared" si="15"/>
        <v>建筑类型</v>
      </c>
      <c r="AA32" s="3266">
        <f t="shared" si="3"/>
        <v>1.0204081632653061</v>
      </c>
      <c r="AB32" s="3266">
        <f t="shared" si="4"/>
        <v>1.0204081632653061</v>
      </c>
      <c r="AC32" s="3266">
        <f t="shared" si="5"/>
        <v>1.0204081632653061</v>
      </c>
    </row>
    <row r="33" spans="1:29" s="1335" customFormat="1" ht="15">
      <c r="A33" s="603"/>
      <c r="B33" s="527" t="s">
        <v>726</v>
      </c>
      <c r="C33" s="880">
        <f>'数据-基础表'!B3</f>
        <v>167887.58000000002</v>
      </c>
      <c r="D33" s="255">
        <v>100</v>
      </c>
      <c r="E33" s="534">
        <v>301371</v>
      </c>
      <c r="F33" s="863">
        <f>LOOKUP(E33,103:103,104:104)-LOOKUP(C33,103:103,104:104)+100</f>
        <v>104</v>
      </c>
      <c r="G33" s="533">
        <v>88245.8</v>
      </c>
      <c r="H33" s="255">
        <f>LOOKUP(G33,103:103,104:104)-LOOKUP(C33,103:103,104:104)+100</f>
        <v>98</v>
      </c>
      <c r="I33" s="534">
        <v>21312</v>
      </c>
      <c r="J33" s="255">
        <f>LOOKUP(I33,103:103,104:104)-LOOKUP(C33,103:103,104:104)+100</f>
        <v>98</v>
      </c>
      <c r="K33" s="865"/>
      <c r="L33" s="2123"/>
      <c r="M33" s="2154"/>
      <c r="N33" s="2154"/>
      <c r="O33" s="2126"/>
      <c r="P33" s="3515"/>
      <c r="Q33" s="1590" t="str">
        <f t="shared" si="11"/>
        <v>项目建筑规模</v>
      </c>
      <c r="R33" s="1563" t="s">
        <v>8</v>
      </c>
      <c r="S33" s="1564">
        <f t="shared" si="12"/>
        <v>104</v>
      </c>
      <c r="T33" s="1563" t="s">
        <v>8</v>
      </c>
      <c r="U33" s="1564">
        <f t="shared" si="13"/>
        <v>98</v>
      </c>
      <c r="V33" s="1563" t="s">
        <v>8</v>
      </c>
      <c r="W33" s="1564">
        <f t="shared" si="14"/>
        <v>98</v>
      </c>
      <c r="X33" s="1565"/>
      <c r="Y33" s="3515"/>
      <c r="Z33" s="1566" t="str">
        <f t="shared" si="15"/>
        <v>项目建筑规模</v>
      </c>
      <c r="AA33" s="3266">
        <f t="shared" si="3"/>
        <v>0.96153846153846156</v>
      </c>
      <c r="AB33" s="3266">
        <f t="shared" si="4"/>
        <v>1.0204081632653061</v>
      </c>
      <c r="AC33" s="3266">
        <f t="shared" si="5"/>
        <v>1.0204081632653061</v>
      </c>
    </row>
    <row r="34" spans="1:29" ht="15">
      <c r="A34" s="594"/>
      <c r="B34" s="527" t="s">
        <v>727</v>
      </c>
      <c r="C34" s="881" t="s">
        <v>3187</v>
      </c>
      <c r="D34" s="540">
        <v>100</v>
      </c>
      <c r="E34" s="881" t="s">
        <v>3187</v>
      </c>
      <c r="F34" s="575">
        <f>SUMIF(105:105,E34,106:106)-SUMIF(105:105,C34,106:106)+100</f>
        <v>100</v>
      </c>
      <c r="G34" s="881" t="s">
        <v>3187</v>
      </c>
      <c r="H34" s="540">
        <f>SUMIF(105:105,G34,106:106)-SUMIF(105:105,C34,106:106)+100</f>
        <v>100</v>
      </c>
      <c r="I34" s="881" t="s">
        <v>3187</v>
      </c>
      <c r="J34" s="540">
        <f>SUMIF(105:105,I34,106:106)-SUMIF(105:105,C34,106:106)+100</f>
        <v>100</v>
      </c>
      <c r="K34" s="864">
        <v>2</v>
      </c>
      <c r="L34" s="2125"/>
      <c r="M34" s="2117"/>
      <c r="N34" s="2117"/>
      <c r="O34" s="2124"/>
      <c r="P34" s="3515"/>
      <c r="Q34" s="3263" t="str">
        <f t="shared" si="11"/>
        <v>建筑结构</v>
      </c>
      <c r="R34" s="1559" t="s">
        <v>8</v>
      </c>
      <c r="S34" s="1560">
        <f t="shared" si="12"/>
        <v>100</v>
      </c>
      <c r="T34" s="1559" t="s">
        <v>8</v>
      </c>
      <c r="U34" s="1560">
        <f t="shared" si="13"/>
        <v>100</v>
      </c>
      <c r="V34" s="1559" t="s">
        <v>8</v>
      </c>
      <c r="W34" s="1560">
        <f t="shared" si="14"/>
        <v>100</v>
      </c>
      <c r="X34" s="3265"/>
      <c r="Y34" s="3515"/>
      <c r="Z34" s="3264" t="str">
        <f t="shared" si="15"/>
        <v>建筑结构</v>
      </c>
      <c r="AA34" s="3266">
        <f t="shared" si="3"/>
        <v>1</v>
      </c>
      <c r="AB34" s="3266">
        <f t="shared" si="4"/>
        <v>1</v>
      </c>
      <c r="AC34" s="3266">
        <f t="shared" si="5"/>
        <v>1</v>
      </c>
    </row>
    <row r="35" spans="1:29" ht="15">
      <c r="A35" s="594"/>
      <c r="B35" s="527" t="s">
        <v>728</v>
      </c>
      <c r="C35" s="599" t="s">
        <v>3316</v>
      </c>
      <c r="D35" s="540">
        <v>100</v>
      </c>
      <c r="E35" s="599" t="s">
        <v>3316</v>
      </c>
      <c r="F35" s="575">
        <f>SUMIF(107:107,E35,108:108)-SUMIF(107:107,C35,108:108)+100</f>
        <v>100</v>
      </c>
      <c r="G35" s="599" t="s">
        <v>3316</v>
      </c>
      <c r="H35" s="540">
        <f>SUMIF(107:107,G35,108:108)-SUMIF(107:107,C35,108:108)+100</f>
        <v>100</v>
      </c>
      <c r="I35" s="599" t="s">
        <v>3316</v>
      </c>
      <c r="J35" s="540">
        <f>SUMIF(107:107,I35,108:108)-SUMIF(107:107,C35,108:108)+100</f>
        <v>100</v>
      </c>
      <c r="K35" s="864">
        <v>2</v>
      </c>
      <c r="L35" s="2125"/>
      <c r="M35" s="2117"/>
      <c r="N35" s="2117"/>
      <c r="O35" s="2124"/>
      <c r="P35" s="3515"/>
      <c r="Q35" s="3263" t="str">
        <f t="shared" si="11"/>
        <v>建筑品质</v>
      </c>
      <c r="R35" s="1559" t="s">
        <v>8</v>
      </c>
      <c r="S35" s="1560">
        <f t="shared" si="12"/>
        <v>100</v>
      </c>
      <c r="T35" s="1559" t="s">
        <v>8</v>
      </c>
      <c r="U35" s="1560">
        <f t="shared" si="13"/>
        <v>100</v>
      </c>
      <c r="V35" s="1559" t="s">
        <v>8</v>
      </c>
      <c r="W35" s="1560">
        <f t="shared" si="14"/>
        <v>100</v>
      </c>
      <c r="X35" s="3265"/>
      <c r="Y35" s="3515"/>
      <c r="Z35" s="3264" t="str">
        <f t="shared" si="15"/>
        <v>建筑品质</v>
      </c>
      <c r="AA35" s="3266">
        <f t="shared" si="3"/>
        <v>1</v>
      </c>
      <c r="AB35" s="3266">
        <f t="shared" si="4"/>
        <v>1</v>
      </c>
      <c r="AC35" s="3266">
        <f t="shared" si="5"/>
        <v>1</v>
      </c>
    </row>
    <row r="36" spans="1:29" ht="15">
      <c r="A36" s="594"/>
      <c r="B36" s="527" t="s">
        <v>729</v>
      </c>
      <c r="C36" s="599" t="s">
        <v>3319</v>
      </c>
      <c r="D36" s="540">
        <v>100</v>
      </c>
      <c r="E36" s="599" t="s">
        <v>3319</v>
      </c>
      <c r="F36" s="575">
        <f>SUMIF(109:109,E36,110:110)-SUMIF(109:109,C36,110:110)+100</f>
        <v>100</v>
      </c>
      <c r="G36" s="599" t="s">
        <v>3319</v>
      </c>
      <c r="H36" s="540">
        <f>SUMIF(109:109,G36,110:110)-SUMIF(109:109,C36,110:110)+100</f>
        <v>100</v>
      </c>
      <c r="I36" s="599" t="s">
        <v>3319</v>
      </c>
      <c r="J36" s="540">
        <f>SUMIF(109:109,I36,110:110)-SUMIF(109:109,C36,110:110)+100</f>
        <v>100</v>
      </c>
      <c r="K36" s="864">
        <v>2</v>
      </c>
      <c r="L36" s="2125"/>
      <c r="M36" s="2117"/>
      <c r="N36" s="2117"/>
      <c r="O36" s="2124"/>
      <c r="P36" s="3515"/>
      <c r="Q36" s="3263" t="str">
        <f t="shared" si="11"/>
        <v>公共部分装修</v>
      </c>
      <c r="R36" s="1559" t="s">
        <v>8</v>
      </c>
      <c r="S36" s="1560">
        <f t="shared" si="12"/>
        <v>100</v>
      </c>
      <c r="T36" s="1559" t="s">
        <v>8</v>
      </c>
      <c r="U36" s="1560">
        <f t="shared" si="13"/>
        <v>100</v>
      </c>
      <c r="V36" s="1559" t="s">
        <v>8</v>
      </c>
      <c r="W36" s="1560">
        <f t="shared" si="14"/>
        <v>100</v>
      </c>
      <c r="X36" s="3265"/>
      <c r="Y36" s="3515"/>
      <c r="Z36" s="3264" t="str">
        <f t="shared" si="15"/>
        <v>公共部分装修</v>
      </c>
      <c r="AA36" s="3266">
        <f t="shared" si="3"/>
        <v>1</v>
      </c>
      <c r="AB36" s="3266">
        <f t="shared" si="4"/>
        <v>1</v>
      </c>
      <c r="AC36" s="3266">
        <f t="shared" si="5"/>
        <v>1</v>
      </c>
    </row>
    <row r="37" spans="1:29" s="1216" customFormat="1" ht="15">
      <c r="A37" s="600"/>
      <c r="B37" s="527" t="s">
        <v>730</v>
      </c>
      <c r="C37" s="883">
        <v>1</v>
      </c>
      <c r="D37" s="255">
        <v>100</v>
      </c>
      <c r="E37" s="884">
        <f>C37</f>
        <v>1</v>
      </c>
      <c r="F37" s="863">
        <f>LOOKUP(E37,112:112,113:113)-LOOKUP(C37,112:112,113:113)+100</f>
        <v>100</v>
      </c>
      <c r="G37" s="885">
        <f>E37</f>
        <v>1</v>
      </c>
      <c r="H37" s="255">
        <f>LOOKUP(G37,112:112,113:113)-LOOKUP(C37,112:112,113:113)+100</f>
        <v>100</v>
      </c>
      <c r="I37" s="884">
        <f>E37</f>
        <v>1</v>
      </c>
      <c r="J37" s="255">
        <f>LOOKUP(I37,112:112,113:113)-LOOKUP(C37,112:112,113:113)+100</f>
        <v>100</v>
      </c>
      <c r="K37" s="864">
        <v>2</v>
      </c>
      <c r="L37" s="2118"/>
      <c r="M37" s="2119"/>
      <c r="N37" s="2119"/>
      <c r="O37" s="2120"/>
      <c r="P37" s="3515"/>
      <c r="Q37" s="3262" t="str">
        <f t="shared" si="11"/>
        <v>成新度</v>
      </c>
      <c r="R37" s="1554" t="s">
        <v>8</v>
      </c>
      <c r="S37" s="1555">
        <f t="shared" si="12"/>
        <v>100</v>
      </c>
      <c r="T37" s="1554" t="s">
        <v>8</v>
      </c>
      <c r="U37" s="1555">
        <f t="shared" si="13"/>
        <v>100</v>
      </c>
      <c r="V37" s="1554" t="s">
        <v>8</v>
      </c>
      <c r="W37" s="1555">
        <f t="shared" si="14"/>
        <v>100</v>
      </c>
      <c r="X37" s="1556"/>
      <c r="Y37" s="3515"/>
      <c r="Z37" s="3261" t="str">
        <f t="shared" si="15"/>
        <v>成新度</v>
      </c>
      <c r="AA37" s="1557">
        <f t="shared" si="3"/>
        <v>1</v>
      </c>
      <c r="AB37" s="1557">
        <f t="shared" si="4"/>
        <v>1</v>
      </c>
      <c r="AC37" s="1557">
        <f t="shared" si="5"/>
        <v>1</v>
      </c>
    </row>
    <row r="38" spans="1:29" ht="15">
      <c r="A38" s="594"/>
      <c r="B38" s="527" t="s">
        <v>731</v>
      </c>
      <c r="C38" s="599" t="s">
        <v>3325</v>
      </c>
      <c r="D38" s="540">
        <v>100</v>
      </c>
      <c r="E38" s="599" t="s">
        <v>3325</v>
      </c>
      <c r="F38" s="575">
        <f>SUMIF(114:114,E38,115:115)-SUMIF(114:114,C38,115:115)+100</f>
        <v>100</v>
      </c>
      <c r="G38" s="599" t="s">
        <v>3325</v>
      </c>
      <c r="H38" s="540">
        <f>SUMIF(114:114,G38,115:115)-SUMIF(114:114,C38,115:115)+100</f>
        <v>100</v>
      </c>
      <c r="I38" s="599" t="s">
        <v>3325</v>
      </c>
      <c r="J38" s="540">
        <f>SUMIF(114:114,I38,115:115)-SUMIF(114:114,C38,115:115)+100</f>
        <v>100</v>
      </c>
      <c r="K38" s="864">
        <v>2</v>
      </c>
      <c r="L38" s="2125"/>
      <c r="M38" s="2117"/>
      <c r="N38" s="2117"/>
      <c r="O38" s="2124"/>
      <c r="P38" s="3515" t="s">
        <v>550</v>
      </c>
      <c r="Q38" s="3263" t="str">
        <f t="shared" si="11"/>
        <v>物业管理</v>
      </c>
      <c r="R38" s="1559" t="s">
        <v>8</v>
      </c>
      <c r="S38" s="1560">
        <f t="shared" si="12"/>
        <v>100</v>
      </c>
      <c r="T38" s="1559" t="s">
        <v>8</v>
      </c>
      <c r="U38" s="1560">
        <f t="shared" si="13"/>
        <v>100</v>
      </c>
      <c r="V38" s="1559" t="s">
        <v>8</v>
      </c>
      <c r="W38" s="1560">
        <f t="shared" si="14"/>
        <v>100</v>
      </c>
      <c r="X38" s="3265"/>
      <c r="Y38" s="3515" t="s">
        <v>550</v>
      </c>
      <c r="Z38" s="3264" t="str">
        <f t="shared" si="15"/>
        <v>物业管理</v>
      </c>
      <c r="AA38" s="3266">
        <f t="shared" si="3"/>
        <v>1</v>
      </c>
      <c r="AB38" s="3266">
        <f t="shared" si="4"/>
        <v>1</v>
      </c>
      <c r="AC38" s="3266">
        <f t="shared" si="5"/>
        <v>1</v>
      </c>
    </row>
    <row r="39" spans="1:29" ht="15">
      <c r="A39" s="594"/>
      <c r="B39" s="1878" t="s">
        <v>2561</v>
      </c>
      <c r="C39" s="599" t="s">
        <v>3148</v>
      </c>
      <c r="D39" s="540">
        <v>100</v>
      </c>
      <c r="E39" s="599" t="s">
        <v>3148</v>
      </c>
      <c r="F39" s="575">
        <f>SUMIF(116:116,E39,117:117)-SUMIF(116:116,C39,117:117)+100</f>
        <v>100</v>
      </c>
      <c r="G39" s="599" t="s">
        <v>3148</v>
      </c>
      <c r="H39" s="540">
        <f>SUMIF(116:116,G39,117:117)-SUMIF(116:116,C39,117:117)+100</f>
        <v>100</v>
      </c>
      <c r="I39" s="599" t="s">
        <v>3148</v>
      </c>
      <c r="J39" s="540">
        <f>SUMIF(116:116,I39,117:117)-SUMIF(116:116,C39,117:117)+100</f>
        <v>100</v>
      </c>
      <c r="K39" s="864">
        <v>2</v>
      </c>
      <c r="L39" s="2125"/>
      <c r="M39" s="2117"/>
      <c r="N39" s="2117"/>
      <c r="O39" s="2124"/>
      <c r="P39" s="3515"/>
      <c r="Q39" s="3263" t="str">
        <f t="shared" si="11"/>
        <v>市政基础设施</v>
      </c>
      <c r="R39" s="1559" t="s">
        <v>8</v>
      </c>
      <c r="S39" s="1560">
        <f t="shared" si="12"/>
        <v>100</v>
      </c>
      <c r="T39" s="1559" t="s">
        <v>8</v>
      </c>
      <c r="U39" s="1560">
        <f t="shared" si="13"/>
        <v>100</v>
      </c>
      <c r="V39" s="1559" t="s">
        <v>8</v>
      </c>
      <c r="W39" s="1560">
        <f t="shared" si="14"/>
        <v>100</v>
      </c>
      <c r="X39" s="3265"/>
      <c r="Y39" s="3515"/>
      <c r="Z39" s="3264" t="str">
        <f t="shared" si="15"/>
        <v>市政基础设施</v>
      </c>
      <c r="AA39" s="3266">
        <f t="shared" si="3"/>
        <v>1</v>
      </c>
      <c r="AB39" s="3266">
        <f t="shared" si="4"/>
        <v>1</v>
      </c>
      <c r="AC39" s="3266">
        <f t="shared" si="5"/>
        <v>1</v>
      </c>
    </row>
    <row r="40" spans="1:29" ht="15">
      <c r="A40" s="594"/>
      <c r="B40" s="527" t="s">
        <v>732</v>
      </c>
      <c r="C40" s="599" t="s">
        <v>3377</v>
      </c>
      <c r="D40" s="540">
        <v>100</v>
      </c>
      <c r="E40" s="599" t="s">
        <v>3377</v>
      </c>
      <c r="F40" s="575">
        <f>SUMIF(118:118,E40,119:119)-SUMIF(118:118,C40,119:119)+100</f>
        <v>100</v>
      </c>
      <c r="G40" s="599" t="s">
        <v>3377</v>
      </c>
      <c r="H40" s="540">
        <f>SUMIF(118:118,G40,119:119)-SUMIF(118:118,C40,119:119)+100</f>
        <v>100</v>
      </c>
      <c r="I40" s="599" t="s">
        <v>3377</v>
      </c>
      <c r="J40" s="540">
        <f>SUMIF(118:118,I40,119:119)-SUMIF(118:118,C40,119:119)+100</f>
        <v>100</v>
      </c>
      <c r="K40" s="864">
        <v>2</v>
      </c>
      <c r="L40" s="2125"/>
      <c r="M40" s="2117"/>
      <c r="N40" s="2117"/>
      <c r="O40" s="2124"/>
      <c r="P40" s="3515"/>
      <c r="Q40" s="3263" t="str">
        <f t="shared" si="11"/>
        <v>房型</v>
      </c>
      <c r="R40" s="1559" t="s">
        <v>8</v>
      </c>
      <c r="S40" s="1560">
        <f t="shared" si="12"/>
        <v>100</v>
      </c>
      <c r="T40" s="1559" t="s">
        <v>8</v>
      </c>
      <c r="U40" s="1560">
        <f t="shared" si="13"/>
        <v>100</v>
      </c>
      <c r="V40" s="1559" t="s">
        <v>8</v>
      </c>
      <c r="W40" s="1560">
        <f t="shared" si="14"/>
        <v>100</v>
      </c>
      <c r="X40" s="3265"/>
      <c r="Y40" s="3515"/>
      <c r="Z40" s="3264" t="str">
        <f t="shared" si="15"/>
        <v>房型</v>
      </c>
      <c r="AA40" s="3266">
        <f t="shared" si="3"/>
        <v>1</v>
      </c>
      <c r="AB40" s="3266">
        <f t="shared" si="4"/>
        <v>1</v>
      </c>
      <c r="AC40" s="3266">
        <f t="shared" si="5"/>
        <v>1</v>
      </c>
    </row>
    <row r="41" spans="1:29" s="1335"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3"/>
      <c r="M41" s="2154"/>
      <c r="N41" s="2154"/>
      <c r="O41" s="2126"/>
      <c r="P41" s="3515"/>
      <c r="Q41" s="1590" t="str">
        <f t="shared" si="11"/>
        <v>单套/主力户型建筑面积</v>
      </c>
      <c r="R41" s="1563" t="s">
        <v>8</v>
      </c>
      <c r="S41" s="1564">
        <f t="shared" si="12"/>
        <v>100</v>
      </c>
      <c r="T41" s="1563" t="s">
        <v>8</v>
      </c>
      <c r="U41" s="1564">
        <f t="shared" si="13"/>
        <v>100</v>
      </c>
      <c r="V41" s="1563" t="s">
        <v>8</v>
      </c>
      <c r="W41" s="1564">
        <f t="shared" si="14"/>
        <v>100</v>
      </c>
      <c r="X41" s="1565"/>
      <c r="Y41" s="3515"/>
      <c r="Z41" s="1566" t="str">
        <f t="shared" si="15"/>
        <v>单套/主力户型建筑面积</v>
      </c>
      <c r="AA41" s="3266">
        <f t="shared" si="3"/>
        <v>1</v>
      </c>
      <c r="AB41" s="3266">
        <f t="shared" si="4"/>
        <v>1</v>
      </c>
      <c r="AC41" s="3266">
        <f t="shared" si="5"/>
        <v>1</v>
      </c>
    </row>
    <row r="42" spans="1:29" ht="15">
      <c r="A42" s="594"/>
      <c r="B42" s="527" t="s">
        <v>734</v>
      </c>
      <c r="C42" s="599" t="s">
        <v>3323</v>
      </c>
      <c r="D42" s="540">
        <v>100</v>
      </c>
      <c r="E42" s="874" t="s">
        <v>3319</v>
      </c>
      <c r="F42" s="575">
        <f>SUMIF(122:122,E42,123:123)-SUMIF(122:122,C42,123:123)+100</f>
        <v>109</v>
      </c>
      <c r="G42" s="599" t="s">
        <v>3323</v>
      </c>
      <c r="H42" s="540">
        <f>SUMIF(122:122,G42,123:123)-SUMIF(122:122,C42,123:123)+100</f>
        <v>100</v>
      </c>
      <c r="I42" s="874" t="s">
        <v>3323</v>
      </c>
      <c r="J42" s="540">
        <f>SUMIF(122:122,I42,123:123)-SUMIF(122:122,C42,123:123)+100</f>
        <v>100</v>
      </c>
      <c r="K42" s="864">
        <v>3</v>
      </c>
      <c r="L42" s="2125"/>
      <c r="M42" s="2117"/>
      <c r="N42" s="2117"/>
      <c r="O42" s="2124"/>
      <c r="P42" s="3515"/>
      <c r="Q42" s="3263" t="str">
        <f t="shared" si="11"/>
        <v>内部装修</v>
      </c>
      <c r="R42" s="1559" t="s">
        <v>8</v>
      </c>
      <c r="S42" s="1560">
        <f t="shared" si="12"/>
        <v>109</v>
      </c>
      <c r="T42" s="1559" t="s">
        <v>8</v>
      </c>
      <c r="U42" s="1560">
        <f t="shared" si="13"/>
        <v>100</v>
      </c>
      <c r="V42" s="1559" t="s">
        <v>8</v>
      </c>
      <c r="W42" s="1560">
        <f t="shared" si="14"/>
        <v>100</v>
      </c>
      <c r="X42" s="3265"/>
      <c r="Y42" s="3515"/>
      <c r="Z42" s="3264" t="str">
        <f t="shared" si="15"/>
        <v>内部装修</v>
      </c>
      <c r="AA42" s="3266">
        <f t="shared" si="3"/>
        <v>0.91743119266055051</v>
      </c>
      <c r="AB42" s="3266">
        <f t="shared" si="4"/>
        <v>1</v>
      </c>
      <c r="AC42" s="3266">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v>2</v>
      </c>
      <c r="L43" s="2125"/>
      <c r="M43" s="2117"/>
      <c r="N43" s="2117"/>
      <c r="O43" s="2124"/>
      <c r="P43" s="3515"/>
      <c r="Q43" s="3263" t="str">
        <f t="shared" si="11"/>
        <v>内部装修维护情况</v>
      </c>
      <c r="R43" s="1559" t="s">
        <v>8</v>
      </c>
      <c r="S43" s="1560">
        <f t="shared" si="12"/>
        <v>100</v>
      </c>
      <c r="T43" s="1559" t="s">
        <v>8</v>
      </c>
      <c r="U43" s="1560">
        <f t="shared" si="13"/>
        <v>100</v>
      </c>
      <c r="V43" s="1559" t="s">
        <v>8</v>
      </c>
      <c r="W43" s="1560">
        <f t="shared" si="14"/>
        <v>100</v>
      </c>
      <c r="X43" s="3265"/>
      <c r="Y43" s="3515"/>
      <c r="Z43" s="3264" t="str">
        <f t="shared" si="15"/>
        <v>内部装修维护情况</v>
      </c>
      <c r="AA43" s="3266">
        <f t="shared" si="3"/>
        <v>1</v>
      </c>
      <c r="AB43" s="3266">
        <f t="shared" si="4"/>
        <v>1</v>
      </c>
      <c r="AC43" s="3266">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8"/>
      <c r="M44" s="2119"/>
      <c r="N44" s="2119"/>
      <c r="O44" s="2120"/>
      <c r="P44" s="3515"/>
      <c r="Q44" s="3262">
        <f t="shared" si="11"/>
        <v>111</v>
      </c>
      <c r="R44" s="1554" t="s">
        <v>8</v>
      </c>
      <c r="S44" s="1555">
        <f t="shared" si="12"/>
        <v>100</v>
      </c>
      <c r="T44" s="1554" t="s">
        <v>8</v>
      </c>
      <c r="U44" s="1555">
        <f t="shared" si="13"/>
        <v>100</v>
      </c>
      <c r="V44" s="1554" t="s">
        <v>8</v>
      </c>
      <c r="W44" s="1555">
        <f t="shared" si="14"/>
        <v>100</v>
      </c>
      <c r="X44" s="1556"/>
      <c r="Y44" s="3515"/>
      <c r="Z44" s="3261">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5"/>
      <c r="M45" s="2117"/>
      <c r="N45" s="2117"/>
      <c r="O45" s="2124"/>
      <c r="P45" s="3515"/>
      <c r="Q45" s="3263">
        <f t="shared" si="11"/>
        <v>111</v>
      </c>
      <c r="R45" s="1559" t="s">
        <v>8</v>
      </c>
      <c r="S45" s="1560">
        <f t="shared" si="12"/>
        <v>100</v>
      </c>
      <c r="T45" s="1559" t="s">
        <v>8</v>
      </c>
      <c r="U45" s="1560">
        <f t="shared" si="13"/>
        <v>100</v>
      </c>
      <c r="V45" s="1559" t="s">
        <v>8</v>
      </c>
      <c r="W45" s="1560">
        <f t="shared" si="14"/>
        <v>100</v>
      </c>
      <c r="X45" s="3265"/>
      <c r="Y45" s="3515"/>
      <c r="Z45" s="3264">
        <f t="shared" si="15"/>
        <v>111</v>
      </c>
      <c r="AA45" s="3266">
        <f t="shared" si="3"/>
        <v>1</v>
      </c>
      <c r="AB45" s="3266">
        <f t="shared" si="4"/>
        <v>1</v>
      </c>
      <c r="AC45" s="3266">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5"/>
      <c r="M46" s="2117"/>
      <c r="N46" s="2117"/>
      <c r="O46" s="2124"/>
      <c r="P46" s="3594"/>
      <c r="Q46" s="3263">
        <f t="shared" si="11"/>
        <v>111</v>
      </c>
      <c r="R46" s="1559" t="s">
        <v>8</v>
      </c>
      <c r="S46" s="1560">
        <f t="shared" si="12"/>
        <v>100</v>
      </c>
      <c r="T46" s="1559" t="s">
        <v>8</v>
      </c>
      <c r="U46" s="1560">
        <f t="shared" si="13"/>
        <v>100</v>
      </c>
      <c r="V46" s="1559" t="s">
        <v>8</v>
      </c>
      <c r="W46" s="1560">
        <f t="shared" si="14"/>
        <v>100</v>
      </c>
      <c r="X46" s="3265"/>
      <c r="Y46" s="3594"/>
      <c r="Z46" s="3264">
        <f t="shared" si="15"/>
        <v>111</v>
      </c>
      <c r="AA46" s="3266">
        <f t="shared" si="3"/>
        <v>1</v>
      </c>
      <c r="AB46" s="3266">
        <f t="shared" si="4"/>
        <v>1</v>
      </c>
      <c r="AC46" s="3266">
        <f t="shared" si="5"/>
        <v>1</v>
      </c>
    </row>
    <row r="47" spans="1:29" ht="14.4">
      <c r="A47" s="607" t="s">
        <v>736</v>
      </c>
      <c r="B47" s="887"/>
      <c r="C47" s="2589" t="s">
        <v>1</v>
      </c>
      <c r="D47" s="2590"/>
      <c r="E47" s="2591">
        <v>5400</v>
      </c>
      <c r="F47" s="2592"/>
      <c r="G47" s="2593">
        <v>5000</v>
      </c>
      <c r="H47" s="2594"/>
      <c r="I47" s="2591">
        <v>5300</v>
      </c>
      <c r="J47" s="2594"/>
      <c r="K47" s="1591"/>
      <c r="L47" s="2127"/>
      <c r="M47" s="2128"/>
      <c r="N47" s="2117"/>
      <c r="O47" s="2128"/>
      <c r="P47" s="3510" t="str">
        <f>A47</f>
        <v>成交单价（元/平方米）</v>
      </c>
      <c r="Q47" s="3510"/>
      <c r="R47" s="3593">
        <f>E47</f>
        <v>5400</v>
      </c>
      <c r="S47" s="3593"/>
      <c r="T47" s="3593">
        <f>G47</f>
        <v>5000</v>
      </c>
      <c r="U47" s="3593"/>
      <c r="V47" s="3593">
        <f>I47</f>
        <v>5300</v>
      </c>
      <c r="W47" s="3593"/>
      <c r="X47" s="1545"/>
      <c r="Y47" s="1567"/>
      <c r="Z47" s="1545"/>
      <c r="AA47" s="1545"/>
      <c r="AB47" s="1545"/>
      <c r="AC47" s="1545"/>
    </row>
    <row r="48" spans="1:29" ht="15" thickBot="1">
      <c r="A48" s="615" t="s">
        <v>2689</v>
      </c>
      <c r="B48" s="888"/>
      <c r="C48" s="2595">
        <f>R49</f>
        <v>4901</v>
      </c>
      <c r="D48" s="2596"/>
      <c r="E48" s="2597">
        <f>R48</f>
        <v>4679</v>
      </c>
      <c r="F48" s="2597"/>
      <c r="G48" s="2595">
        <f>T48</f>
        <v>4819</v>
      </c>
      <c r="H48" s="2596"/>
      <c r="I48" s="2597">
        <f>V48</f>
        <v>5206</v>
      </c>
      <c r="J48" s="2596"/>
      <c r="K48" s="1592"/>
      <c r="L48" s="2127"/>
      <c r="M48" s="2128"/>
      <c r="N48" s="2128"/>
      <c r="O48" s="2128"/>
      <c r="P48" s="3510" t="str">
        <f>A48</f>
        <v>比较价格（元/平方米）</v>
      </c>
      <c r="Q48" s="3510"/>
      <c r="R48" s="3593">
        <f>IF(F1="售价",ROUND(PRODUCT(R47,AA7:AA46),0),ROUND(PRODUCT(R47,AA7:AA46),1))</f>
        <v>4679</v>
      </c>
      <c r="S48" s="3593"/>
      <c r="T48" s="3593">
        <f>IF(F1="售价",ROUND(PRODUCT(T47,AB7:AB46),0),ROUND(PRODUCT(T47,AB7:AB46),1))</f>
        <v>4819</v>
      </c>
      <c r="U48" s="3593"/>
      <c r="V48" s="3593">
        <f>IF(F1="售价",ROUND(PRODUCT(V47,AC7:AC46),0),ROUND(PRODUCT(V47,AC7:AC46),1))</f>
        <v>5206</v>
      </c>
      <c r="W48" s="3593"/>
      <c r="X48" s="1545"/>
      <c r="Y48" s="1545"/>
      <c r="Z48" s="1545"/>
      <c r="AA48" s="1545"/>
      <c r="AB48" s="1545"/>
      <c r="AC48" s="1545"/>
    </row>
    <row r="49" spans="1:29" ht="15" thickBot="1">
      <c r="A49" s="621" t="s">
        <v>2929</v>
      </c>
      <c r="B49" s="622"/>
      <c r="C49" s="2598">
        <f>R49</f>
        <v>4901</v>
      </c>
      <c r="D49" s="2598"/>
      <c r="E49" s="2598"/>
      <c r="F49" s="2598"/>
      <c r="G49" s="2598"/>
      <c r="H49" s="2598"/>
      <c r="I49" s="2598"/>
      <c r="J49" s="2598"/>
      <c r="K49" s="1593"/>
      <c r="L49" s="2127"/>
      <c r="M49" s="2128"/>
      <c r="N49" s="2128"/>
      <c r="O49" s="2128"/>
      <c r="P49" s="3531" t="str">
        <f>A49</f>
        <v>估价对象XX用房的比较价格（楼面单价，元/平方米）</v>
      </c>
      <c r="Q49" s="3532"/>
      <c r="R49" s="3592">
        <f>IF(F1="售价",ROUND(AVERAGE(R48:V48),0),ROUND(AVERAGE(R48:V48),1))</f>
        <v>4901</v>
      </c>
      <c r="S49" s="3592"/>
      <c r="T49" s="3592"/>
      <c r="U49" s="3592"/>
      <c r="V49" s="3592"/>
      <c r="W49" s="3592"/>
      <c r="X49" s="1545"/>
      <c r="Y49" s="1545"/>
      <c r="Z49" s="1545"/>
      <c r="AA49" s="1545"/>
      <c r="AB49" s="1545"/>
      <c r="AC49" s="1545"/>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4" t="s">
        <v>557</v>
      </c>
      <c r="D52" s="625"/>
      <c r="E52" s="626">
        <f>IF(E47&lt;E48,E48/E47-1,E47/E48-1)</f>
        <v>0.15409275486215002</v>
      </c>
      <c r="F52" s="627" t="str">
        <f>IF(OR(E52&gt;=0.3,E52&lt;=-0.3),"超过30%","")</f>
        <v/>
      </c>
      <c r="G52" s="626">
        <f>IF(G47&lt;G48,G48/G47-1,G47/G48-1)</f>
        <v>3.7559659680431734E-2</v>
      </c>
      <c r="H52" s="627" t="str">
        <f>IF(OR(G52&gt;=0.3,G52&lt;=-0.3),"超过30%","")</f>
        <v/>
      </c>
      <c r="I52" s="626">
        <f>IF(I47&lt;I48,I48/I47-1,I47/I48-1)</f>
        <v>1.8056089127929331E-2</v>
      </c>
      <c r="J52" s="627"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4" t="s">
        <v>558</v>
      </c>
      <c r="D53" s="628"/>
      <c r="E53" s="626">
        <f>IF(E48&lt;G48,G48/E48-1,E48/G48-1)</f>
        <v>2.9920923274203926E-2</v>
      </c>
      <c r="F53" s="627" t="str">
        <f>IF(OR(E53&gt;=0.2,E53&lt;=-0.2),"超过20%","")</f>
        <v/>
      </c>
      <c r="G53" s="626">
        <f>IF(G48&lt;I48,I48/G48-1,G48/I48-1)</f>
        <v>8.0307117659265348E-2</v>
      </c>
      <c r="H53" s="627" t="str">
        <f>IF(OR(G53&gt;=0.2,G53&lt;=-0.2),"超过20%","")</f>
        <v/>
      </c>
      <c r="I53" s="626">
        <f>IF(I48&lt;E48,E48/I48-1,I48/E48-1)</f>
        <v>0.11263090403932474</v>
      </c>
      <c r="J53" s="627"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41" customFormat="1" ht="13.5" customHeight="1">
      <c r="A54" s="2129"/>
      <c r="B54" s="2129"/>
      <c r="C54" s="624" t="s">
        <v>559</v>
      </c>
      <c r="D54" s="628"/>
      <c r="E54" s="626">
        <f>IF(E47&lt;G47,G47/E47-1,E47/G47-1)</f>
        <v>8.0000000000000071E-2</v>
      </c>
      <c r="F54" s="627" t="str">
        <f>IF(OR(E54&gt;=0.3,E54&lt;=-0.3),"超过30%","")</f>
        <v/>
      </c>
      <c r="G54" s="626">
        <f>IF(G47&lt;I47,I47/G47-1,G47/I47-1)</f>
        <v>6.0000000000000053E-2</v>
      </c>
      <c r="H54" s="627" t="str">
        <f>IF(OR(G54&gt;=0.3,G54&lt;=-0.3),"超过30%","")</f>
        <v/>
      </c>
      <c r="I54" s="626">
        <f>IF(I47&lt;E47,E47/I47-1,I47/E47-1)</f>
        <v>1.8867924528301883E-2</v>
      </c>
      <c r="J54" s="627"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41"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2.2" thickBot="1">
      <c r="A57" s="1570" t="s">
        <v>574</v>
      </c>
      <c r="B57" s="1545"/>
      <c r="C57" s="1569"/>
      <c r="D57" s="1569"/>
      <c r="E57" s="1569"/>
      <c r="F57" s="1571"/>
      <c r="G57" s="1571"/>
      <c r="H57" s="1569"/>
      <c r="I57" s="1569"/>
      <c r="J57" s="1569"/>
      <c r="K57" s="1572"/>
      <c r="L57" s="1568"/>
      <c r="M57" s="1569"/>
      <c r="N57" s="1569"/>
      <c r="O57" s="1569"/>
      <c r="P57" s="2140"/>
      <c r="Q57" s="2141"/>
      <c r="R57" s="2128"/>
      <c r="S57" s="2128"/>
      <c r="T57" s="2128"/>
      <c r="U57" s="2128"/>
      <c r="V57" s="2128"/>
      <c r="W57" s="2128"/>
      <c r="X57" s="2128"/>
      <c r="Y57" s="2128"/>
      <c r="Z57" s="2128"/>
      <c r="AA57" s="2128"/>
      <c r="AB57" s="2128"/>
      <c r="AC57" s="2128"/>
    </row>
    <row r="58" spans="1:29" s="1343" customFormat="1" ht="14.4">
      <c r="A58" s="645" t="s">
        <v>529</v>
      </c>
      <c r="B58" s="646"/>
      <c r="C58" s="2757" t="str">
        <f>YEAR(C7)&amp;"-"&amp;MONTH(C7)</f>
        <v>2020-2</v>
      </c>
      <c r="D58" s="2757">
        <f>EDATE(C58,-1)</f>
        <v>43831</v>
      </c>
      <c r="E58" s="2757">
        <f t="shared" ref="E58:O58" si="16">EDATE(D58,-1)</f>
        <v>43800</v>
      </c>
      <c r="F58" s="2757">
        <f t="shared" si="16"/>
        <v>43770</v>
      </c>
      <c r="G58" s="2757">
        <f t="shared" si="16"/>
        <v>43739</v>
      </c>
      <c r="H58" s="2757">
        <f t="shared" si="16"/>
        <v>43709</v>
      </c>
      <c r="I58" s="2757">
        <f t="shared" si="16"/>
        <v>43678</v>
      </c>
      <c r="J58" s="2757">
        <f t="shared" si="16"/>
        <v>43647</v>
      </c>
      <c r="K58" s="2757">
        <f t="shared" si="16"/>
        <v>43617</v>
      </c>
      <c r="L58" s="2757">
        <f t="shared" si="16"/>
        <v>43586</v>
      </c>
      <c r="M58" s="2757">
        <f t="shared" si="16"/>
        <v>43556</v>
      </c>
      <c r="N58" s="2757">
        <f t="shared" si="16"/>
        <v>43525</v>
      </c>
      <c r="O58" s="2757">
        <f t="shared" si="16"/>
        <v>43497</v>
      </c>
      <c r="P58" s="2143"/>
      <c r="Q58" s="2144"/>
      <c r="R58" s="2144"/>
      <c r="S58" s="2144"/>
      <c r="T58" s="2144"/>
      <c r="U58" s="2144"/>
      <c r="V58" s="2144"/>
      <c r="W58" s="2144"/>
      <c r="X58" s="2144"/>
      <c r="Y58" s="2144"/>
      <c r="Z58" s="2144"/>
      <c r="AA58" s="2144"/>
      <c r="AB58" s="2144"/>
      <c r="AC58" s="2144"/>
    </row>
    <row r="59" spans="1:29" s="1216" customFormat="1">
      <c r="A59" s="647"/>
      <c r="B59" s="648"/>
      <c r="C59" s="649">
        <v>100</v>
      </c>
      <c r="D59" s="650"/>
      <c r="E59" s="650"/>
      <c r="F59" s="650"/>
      <c r="G59" s="650"/>
      <c r="H59" s="650"/>
      <c r="I59" s="650"/>
      <c r="J59" s="650"/>
      <c r="K59" s="650"/>
      <c r="L59" s="650"/>
      <c r="M59" s="650"/>
      <c r="N59" s="650"/>
      <c r="O59" s="650"/>
      <c r="P59" s="2141"/>
      <c r="Q59" s="1976"/>
      <c r="R59" s="1976"/>
      <c r="S59" s="1976"/>
      <c r="T59" s="1976"/>
      <c r="U59" s="1976"/>
      <c r="V59" s="1976"/>
      <c r="W59" s="1976"/>
      <c r="X59" s="1976"/>
      <c r="Y59" s="1976"/>
      <c r="Z59" s="1976"/>
      <c r="AA59" s="1976"/>
      <c r="AB59" s="1976"/>
      <c r="AC59" s="1976"/>
    </row>
    <row r="60" spans="1:29" s="1216" customFormat="1" ht="15" thickBot="1">
      <c r="A60" s="653" t="s">
        <v>575</v>
      </c>
      <c r="B60" s="654"/>
      <c r="C60" s="655"/>
      <c r="D60" s="656"/>
      <c r="E60" s="656"/>
      <c r="F60" s="656"/>
      <c r="G60" s="656"/>
      <c r="H60" s="656"/>
      <c r="I60" s="656"/>
      <c r="J60" s="656"/>
      <c r="K60" s="656"/>
      <c r="L60" s="656"/>
      <c r="M60" s="657"/>
      <c r="N60" s="656"/>
      <c r="O60" s="658"/>
      <c r="P60" s="2141"/>
      <c r="Q60" s="2141"/>
      <c r="R60" s="1976"/>
      <c r="S60" s="1976"/>
      <c r="T60" s="1976"/>
      <c r="U60" s="1976"/>
      <c r="V60" s="1976"/>
      <c r="W60" s="1976"/>
      <c r="X60" s="1976"/>
      <c r="Y60" s="1976"/>
      <c r="Z60" s="1976"/>
      <c r="AA60" s="1976"/>
      <c r="AB60" s="1976"/>
      <c r="AC60" s="1976"/>
    </row>
    <row r="61" spans="1:29" s="1216" customFormat="1" ht="14.4">
      <c r="A61" s="659" t="s">
        <v>531</v>
      </c>
      <c r="B61" s="648"/>
      <c r="C61" s="660" t="s">
        <v>576</v>
      </c>
      <c r="D61" s="661"/>
      <c r="E61" s="661"/>
      <c r="F61" s="661"/>
      <c r="G61" s="661"/>
      <c r="H61" s="661"/>
      <c r="I61" s="661"/>
      <c r="J61" s="661"/>
      <c r="K61" s="661"/>
      <c r="L61" s="662"/>
      <c r="M61" s="663"/>
      <c r="N61" s="2145"/>
      <c r="O61" s="2145"/>
      <c r="P61" s="2146"/>
      <c r="Q61" s="2141"/>
      <c r="R61" s="1976"/>
      <c r="S61" s="1976"/>
      <c r="T61" s="1976"/>
      <c r="U61" s="1976"/>
      <c r="V61" s="1976"/>
      <c r="W61" s="1976"/>
      <c r="X61" s="1976"/>
      <c r="Y61" s="1976"/>
      <c r="Z61" s="1976"/>
      <c r="AA61" s="1976"/>
      <c r="AB61" s="1976"/>
      <c r="AC61" s="1976"/>
    </row>
    <row r="62" spans="1:29" s="1216" customFormat="1" ht="14.4" thickBot="1">
      <c r="A62" s="659"/>
      <c r="B62" s="648"/>
      <c r="C62" s="889">
        <v>100</v>
      </c>
      <c r="D62" s="650"/>
      <c r="E62" s="650"/>
      <c r="F62" s="650"/>
      <c r="G62" s="650"/>
      <c r="H62" s="650"/>
      <c r="I62" s="650"/>
      <c r="J62" s="650"/>
      <c r="K62" s="650"/>
      <c r="L62" s="650"/>
      <c r="M62" s="652"/>
      <c r="N62" s="2145"/>
      <c r="O62" s="2145"/>
      <c r="P62" s="2141"/>
      <c r="Q62" s="2141"/>
      <c r="R62" s="1976"/>
      <c r="S62" s="1976"/>
      <c r="T62" s="1976"/>
      <c r="U62" s="1976"/>
      <c r="V62" s="1976"/>
      <c r="W62" s="1976"/>
      <c r="X62" s="1976"/>
      <c r="Y62" s="1976"/>
      <c r="Z62" s="1976"/>
      <c r="AA62" s="1976"/>
      <c r="AB62" s="1976"/>
      <c r="AC62" s="1976"/>
    </row>
    <row r="63" spans="1:29" ht="14.4">
      <c r="A63" s="664" t="s">
        <v>577</v>
      </c>
      <c r="B63" s="665" t="s">
        <v>534</v>
      </c>
      <c r="C63" s="704" t="str">
        <f>C9</f>
        <v>住宅</v>
      </c>
      <c r="D63" s="598"/>
      <c r="E63" s="598"/>
      <c r="F63" s="598"/>
      <c r="G63" s="598"/>
      <c r="H63" s="598"/>
      <c r="I63" s="598"/>
      <c r="J63" s="598"/>
      <c r="K63" s="666"/>
      <c r="L63" s="667"/>
      <c r="M63" s="668"/>
      <c r="N63" s="2147"/>
      <c r="O63" s="2147"/>
      <c r="P63" s="2148"/>
      <c r="Q63" s="2141"/>
      <c r="R63" s="2128"/>
      <c r="S63" s="2128"/>
      <c r="T63" s="2128"/>
      <c r="U63" s="2128"/>
      <c r="V63" s="2128"/>
      <c r="W63" s="2128"/>
      <c r="X63" s="2128"/>
      <c r="Y63" s="2128"/>
      <c r="Z63" s="2128"/>
      <c r="AA63" s="2128"/>
      <c r="AB63" s="2128"/>
      <c r="AC63" s="2128"/>
    </row>
    <row r="64" spans="1:29" ht="14.4" thickBot="1">
      <c r="A64" s="669"/>
      <c r="B64" s="670"/>
      <c r="C64" s="671"/>
      <c r="D64" s="671"/>
      <c r="E64" s="1594"/>
      <c r="F64" s="1594"/>
      <c r="G64" s="1594"/>
      <c r="H64" s="1594"/>
      <c r="I64" s="1594"/>
      <c r="J64" s="1594"/>
      <c r="K64" s="1594"/>
      <c r="L64" s="1594"/>
      <c r="M64" s="1595"/>
      <c r="N64" s="2149"/>
      <c r="O64" s="2149"/>
      <c r="P64" s="2148"/>
      <c r="Q64" s="2141"/>
      <c r="R64" s="2128"/>
      <c r="S64" s="2128"/>
      <c r="T64" s="2128"/>
      <c r="U64" s="2128"/>
      <c r="V64" s="2128"/>
      <c r="W64" s="2128"/>
      <c r="X64" s="2128"/>
      <c r="Y64" s="2128"/>
      <c r="Z64" s="2128"/>
      <c r="AA64" s="2128"/>
      <c r="AB64" s="2128"/>
      <c r="AC64" s="2128"/>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4.4"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49"/>
      <c r="O67" s="2149"/>
      <c r="P67" s="2148"/>
      <c r="Q67" s="2141"/>
      <c r="R67" s="2128"/>
      <c r="S67" s="2128"/>
      <c r="T67" s="2128"/>
      <c r="U67" s="2128"/>
      <c r="V67" s="2128"/>
      <c r="W67" s="2128"/>
      <c r="X67" s="2128"/>
      <c r="Y67" s="2128"/>
      <c r="Z67" s="2128"/>
      <c r="AA67" s="2128"/>
      <c r="AB67" s="2128"/>
      <c r="AC67" s="2128"/>
    </row>
    <row r="68" spans="1:29">
      <c r="A68" s="669"/>
      <c r="B68" s="683"/>
      <c r="C68" s="541">
        <v>0</v>
      </c>
      <c r="D68" s="541">
        <v>1</v>
      </c>
      <c r="E68" s="541">
        <v>2</v>
      </c>
      <c r="F68" s="541">
        <v>3</v>
      </c>
      <c r="G68" s="541">
        <v>4</v>
      </c>
      <c r="H68" s="541">
        <v>5</v>
      </c>
      <c r="I68" s="541"/>
      <c r="J68" s="541"/>
      <c r="K68" s="684"/>
      <c r="L68" s="685"/>
      <c r="M68" s="686"/>
      <c r="N68" s="2147"/>
      <c r="O68" s="2147"/>
      <c r="P68" s="2148"/>
      <c r="Q68" s="2141"/>
      <c r="R68" s="2128"/>
      <c r="S68" s="2128"/>
      <c r="T68" s="2128"/>
      <c r="U68" s="2128"/>
      <c r="V68" s="2128"/>
      <c r="W68" s="2128"/>
      <c r="X68" s="2128"/>
      <c r="Y68" s="2128"/>
      <c r="Z68" s="2128"/>
      <c r="AA68" s="2128"/>
      <c r="AB68" s="2128"/>
      <c r="AC68" s="2128"/>
    </row>
    <row r="69" spans="1:29" ht="14.4"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49"/>
      <c r="O69" s="2149"/>
      <c r="P69" s="2148"/>
      <c r="Q69" s="2141"/>
      <c r="R69" s="2128"/>
      <c r="S69" s="2128"/>
      <c r="T69" s="2128"/>
      <c r="U69" s="2128"/>
      <c r="V69" s="2128"/>
      <c r="W69" s="2128"/>
      <c r="X69" s="2128"/>
      <c r="Y69" s="2128"/>
      <c r="Z69" s="2128"/>
      <c r="AA69" s="2128"/>
      <c r="AB69" s="2128"/>
      <c r="AC69" s="2128"/>
    </row>
    <row r="70" spans="1:29" s="1335" customFormat="1" ht="14.4" thickTop="1">
      <c r="A70" s="687"/>
      <c r="B70" s="673">
        <f>B12</f>
        <v>111</v>
      </c>
      <c r="C70" s="688"/>
      <c r="D70" s="688"/>
      <c r="E70" s="688"/>
      <c r="F70" s="688"/>
      <c r="G70" s="688"/>
      <c r="H70" s="689"/>
      <c r="I70" s="689"/>
      <c r="J70" s="689"/>
      <c r="K70" s="689"/>
      <c r="L70" s="690"/>
      <c r="M70" s="691"/>
      <c r="N70" s="2150"/>
      <c r="O70" s="2150"/>
      <c r="P70" s="2151"/>
      <c r="Q70" s="2152"/>
      <c r="R70" s="2153"/>
      <c r="S70" s="2153"/>
      <c r="T70" s="2153"/>
      <c r="U70" s="2153"/>
      <c r="V70" s="2153"/>
      <c r="W70" s="2153"/>
      <c r="X70" s="2153"/>
      <c r="Y70" s="2153"/>
      <c r="Z70" s="2153"/>
      <c r="AA70" s="2153"/>
      <c r="AB70" s="2153"/>
      <c r="AC70" s="2153"/>
    </row>
    <row r="71" spans="1:29" s="1335" customFormat="1" ht="14.4" thickBot="1">
      <c r="A71" s="687"/>
      <c r="B71" s="678"/>
      <c r="C71" s="692"/>
      <c r="D71" s="671"/>
      <c r="E71" s="671"/>
      <c r="F71" s="671"/>
      <c r="G71" s="671"/>
      <c r="H71" s="671"/>
      <c r="I71" s="671"/>
      <c r="J71" s="671"/>
      <c r="K71" s="671"/>
      <c r="L71" s="671"/>
      <c r="M71" s="672"/>
      <c r="N71" s="2149"/>
      <c r="O71" s="2149"/>
      <c r="P71" s="2151"/>
      <c r="Q71" s="2152"/>
      <c r="R71" s="2153"/>
      <c r="S71" s="2153"/>
      <c r="T71" s="2153"/>
      <c r="U71" s="2153"/>
      <c r="V71" s="2153"/>
      <c r="W71" s="2153"/>
      <c r="X71" s="2153"/>
      <c r="Y71" s="2153"/>
      <c r="Z71" s="2153"/>
      <c r="AA71" s="2153"/>
      <c r="AB71" s="2153"/>
      <c r="AC71" s="2153"/>
    </row>
    <row r="72" spans="1:29" s="1335" customFormat="1" ht="14.4" thickTop="1">
      <c r="A72" s="687"/>
      <c r="B72" s="673">
        <f>B13</f>
        <v>111</v>
      </c>
      <c r="C72" s="688"/>
      <c r="D72" s="688"/>
      <c r="E72" s="688"/>
      <c r="F72" s="688"/>
      <c r="G72" s="688"/>
      <c r="H72" s="689"/>
      <c r="I72" s="689"/>
      <c r="J72" s="689"/>
      <c r="K72" s="689"/>
      <c r="L72" s="690"/>
      <c r="M72" s="691"/>
      <c r="N72" s="2150"/>
      <c r="O72" s="2150"/>
      <c r="P72" s="2154"/>
      <c r="Q72" s="2155"/>
      <c r="R72" s="2153"/>
      <c r="S72" s="2153"/>
      <c r="T72" s="2153"/>
      <c r="U72" s="2153"/>
      <c r="V72" s="2153"/>
      <c r="W72" s="2153"/>
      <c r="X72" s="2153"/>
      <c r="Y72" s="2153"/>
      <c r="Z72" s="2153"/>
      <c r="AA72" s="2153"/>
      <c r="AB72" s="2153"/>
      <c r="AC72" s="2153"/>
    </row>
    <row r="73" spans="1:29" s="1335" customFormat="1" ht="14.4" thickBot="1">
      <c r="A73" s="687"/>
      <c r="B73" s="678"/>
      <c r="C73" s="692"/>
      <c r="D73" s="692"/>
      <c r="E73" s="692"/>
      <c r="F73" s="692"/>
      <c r="G73" s="692"/>
      <c r="H73" s="693"/>
      <c r="I73" s="693"/>
      <c r="J73" s="693"/>
      <c r="K73" s="693"/>
      <c r="L73" s="693"/>
      <c r="M73" s="694"/>
      <c r="N73" s="2150"/>
      <c r="O73" s="2150"/>
      <c r="P73" s="2151"/>
      <c r="Q73" s="2152"/>
      <c r="R73" s="2153"/>
      <c r="S73" s="2153"/>
      <c r="T73" s="2153"/>
      <c r="U73" s="2153"/>
      <c r="V73" s="2153"/>
      <c r="W73" s="2153"/>
      <c r="X73" s="2153"/>
      <c r="Y73" s="2153"/>
      <c r="Z73" s="2153"/>
      <c r="AA73" s="2153"/>
      <c r="AB73" s="2153"/>
      <c r="AC73" s="2153"/>
    </row>
    <row r="74" spans="1:29" s="1335" customFormat="1" ht="14.4" thickTop="1">
      <c r="A74" s="687"/>
      <c r="B74" s="681">
        <f>B14</f>
        <v>111</v>
      </c>
      <c r="C74" s="688"/>
      <c r="D74" s="688"/>
      <c r="E74" s="688"/>
      <c r="F74" s="688"/>
      <c r="G74" s="661"/>
      <c r="H74" s="695"/>
      <c r="I74" s="695"/>
      <c r="J74" s="695"/>
      <c r="K74" s="695"/>
      <c r="L74" s="696"/>
      <c r="M74" s="697"/>
      <c r="N74" s="2150"/>
      <c r="O74" s="2150"/>
      <c r="P74" s="2156"/>
      <c r="Q74" s="2152"/>
      <c r="R74" s="2153"/>
      <c r="S74" s="2153"/>
      <c r="T74" s="2153"/>
      <c r="U74" s="2153"/>
      <c r="V74" s="2153"/>
      <c r="W74" s="2153"/>
      <c r="X74" s="2153"/>
      <c r="Y74" s="2153"/>
      <c r="Z74" s="2153"/>
      <c r="AA74" s="2153"/>
      <c r="AB74" s="2153"/>
      <c r="AC74" s="2153"/>
    </row>
    <row r="75" spans="1:29" s="1335" customFormat="1" ht="14.4" thickBot="1">
      <c r="A75" s="698"/>
      <c r="B75" s="699"/>
      <c r="C75" s="700"/>
      <c r="D75" s="700"/>
      <c r="E75" s="700"/>
      <c r="F75" s="700"/>
      <c r="G75" s="700"/>
      <c r="H75" s="701"/>
      <c r="I75" s="701"/>
      <c r="J75" s="701"/>
      <c r="K75" s="701"/>
      <c r="L75" s="701"/>
      <c r="M75" s="702"/>
      <c r="N75" s="2150"/>
      <c r="O75" s="2150"/>
      <c r="P75" s="2151"/>
      <c r="Q75" s="2152"/>
      <c r="R75" s="2153"/>
      <c r="S75" s="2153"/>
      <c r="T75" s="2153"/>
      <c r="U75" s="2153"/>
      <c r="V75" s="2153"/>
      <c r="W75" s="2153"/>
      <c r="X75" s="2153"/>
      <c r="Y75" s="2153"/>
      <c r="Z75" s="2153"/>
      <c r="AA75" s="2153"/>
      <c r="AB75" s="2153"/>
      <c r="AC75" s="2153"/>
    </row>
    <row r="76" spans="1:29" ht="14.4">
      <c r="A76" s="664" t="s">
        <v>539</v>
      </c>
      <c r="B76" s="665" t="s">
        <v>578</v>
      </c>
      <c r="C76" s="703" t="s">
        <v>579</v>
      </c>
      <c r="D76" s="703" t="s">
        <v>580</v>
      </c>
      <c r="E76" s="703" t="s">
        <v>581</v>
      </c>
      <c r="F76" s="703" t="s">
        <v>582</v>
      </c>
      <c r="G76" s="703" t="s">
        <v>583</v>
      </c>
      <c r="H76" s="704"/>
      <c r="I76" s="704"/>
      <c r="J76" s="704"/>
      <c r="K76" s="705"/>
      <c r="L76" s="706"/>
      <c r="M76" s="707"/>
      <c r="N76" s="2147"/>
      <c r="O76" s="2147"/>
      <c r="P76" s="2157"/>
      <c r="Q76" s="2141"/>
      <c r="R76" s="2128"/>
      <c r="S76" s="2128"/>
      <c r="T76" s="2128"/>
      <c r="U76" s="2128"/>
      <c r="V76" s="2128"/>
      <c r="W76" s="2128"/>
      <c r="X76" s="2128"/>
      <c r="Y76" s="2128"/>
      <c r="Z76" s="2128"/>
      <c r="AA76" s="2128"/>
      <c r="AB76" s="2128"/>
      <c r="AC76" s="2128"/>
    </row>
    <row r="77" spans="1:29" ht="14.4" thickBot="1">
      <c r="A77" s="669"/>
      <c r="B77" s="678"/>
      <c r="C77" s="679">
        <v>100</v>
      </c>
      <c r="D77" s="679">
        <f>C77-$K15</f>
        <v>98</v>
      </c>
      <c r="E77" s="679">
        <f>D77-$K15</f>
        <v>96</v>
      </c>
      <c r="F77" s="679">
        <f>E77-$K15</f>
        <v>94</v>
      </c>
      <c r="G77" s="679">
        <f>F77-$K15</f>
        <v>92</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 thickTop="1">
      <c r="A78" s="669"/>
      <c r="B78" s="673" t="s">
        <v>586</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4.4" thickBot="1">
      <c r="A79" s="669"/>
      <c r="B79" s="678"/>
      <c r="C79" s="679">
        <v>100</v>
      </c>
      <c r="D79" s="679">
        <f>C79-$K17</f>
        <v>98</v>
      </c>
      <c r="E79" s="679">
        <f>D79-$K17</f>
        <v>96</v>
      </c>
      <c r="F79" s="679">
        <f>E79-$K17</f>
        <v>94</v>
      </c>
      <c r="G79" s="679">
        <f>F79-$K17</f>
        <v>92</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ht="15" thickTop="1">
      <c r="A80" s="669"/>
      <c r="B80" s="1879" t="s">
        <v>2314</v>
      </c>
      <c r="C80" s="708" t="s">
        <v>579</v>
      </c>
      <c r="D80" s="708" t="s">
        <v>580</v>
      </c>
      <c r="E80" s="708" t="s">
        <v>581</v>
      </c>
      <c r="F80" s="708" t="s">
        <v>582</v>
      </c>
      <c r="G80" s="708" t="s">
        <v>583</v>
      </c>
      <c r="H80" s="674"/>
      <c r="I80" s="674"/>
      <c r="J80" s="674"/>
      <c r="K80" s="675"/>
      <c r="L80" s="676"/>
      <c r="M80" s="677"/>
      <c r="N80" s="2147"/>
      <c r="O80" s="2147"/>
      <c r="P80" s="2148"/>
      <c r="Q80" s="2141"/>
      <c r="R80" s="2128"/>
      <c r="S80" s="2128"/>
      <c r="T80" s="2128"/>
      <c r="U80" s="2128"/>
      <c r="V80" s="2128"/>
      <c r="W80" s="2128"/>
      <c r="X80" s="2128"/>
      <c r="Y80" s="2128"/>
      <c r="Z80" s="2128"/>
      <c r="AA80" s="2128"/>
      <c r="AB80" s="2128"/>
      <c r="AC80" s="2128"/>
    </row>
    <row r="81" spans="1:29" ht="14.4" thickBot="1">
      <c r="A81" s="669"/>
      <c r="B81" s="678"/>
      <c r="C81" s="679">
        <v>100</v>
      </c>
      <c r="D81" s="679">
        <f>C81-$K19</f>
        <v>98</v>
      </c>
      <c r="E81" s="679">
        <f>D81-$K19</f>
        <v>96</v>
      </c>
      <c r="F81" s="679">
        <f>E81-$K19</f>
        <v>94</v>
      </c>
      <c r="G81" s="679">
        <f>F81-$K19</f>
        <v>92</v>
      </c>
      <c r="H81" s="679"/>
      <c r="I81" s="679"/>
      <c r="J81" s="679"/>
      <c r="K81" s="679"/>
      <c r="L81" s="679"/>
      <c r="M81" s="680"/>
      <c r="N81" s="2149"/>
      <c r="O81" s="2149"/>
      <c r="P81" s="2148"/>
      <c r="Q81" s="2141"/>
      <c r="R81" s="2128"/>
      <c r="S81" s="2128"/>
      <c r="T81" s="2128"/>
      <c r="U81" s="2128"/>
      <c r="V81" s="2128"/>
      <c r="W81" s="2128"/>
      <c r="X81" s="2128"/>
      <c r="Y81" s="2128"/>
      <c r="Z81" s="2128"/>
      <c r="AA81" s="2128"/>
      <c r="AB81" s="2128"/>
      <c r="AC81" s="2128"/>
    </row>
    <row r="82" spans="1:29" ht="15" thickTop="1">
      <c r="A82" s="669"/>
      <c r="B82" s="2559" t="s">
        <v>2544</v>
      </c>
      <c r="C82" s="2560" t="s">
        <v>2556</v>
      </c>
      <c r="D82" s="2560" t="s">
        <v>2557</v>
      </c>
      <c r="E82" s="2560" t="s">
        <v>2558</v>
      </c>
      <c r="F82" s="2560" t="s">
        <v>2559</v>
      </c>
      <c r="G82" s="2560" t="s">
        <v>2560</v>
      </c>
      <c r="H82" s="674"/>
      <c r="I82" s="674"/>
      <c r="J82" s="674"/>
      <c r="K82" s="674"/>
      <c r="L82" s="674"/>
      <c r="M82" s="2563"/>
      <c r="N82" s="2149"/>
      <c r="O82" s="2149"/>
      <c r="P82" s="2148"/>
      <c r="Q82" s="2141"/>
      <c r="R82" s="2128"/>
      <c r="S82" s="2128"/>
      <c r="T82" s="2128"/>
      <c r="U82" s="2128"/>
      <c r="V82" s="2128"/>
      <c r="W82" s="2128"/>
      <c r="X82" s="2128"/>
      <c r="Y82" s="2128"/>
      <c r="Z82" s="2128"/>
      <c r="AA82" s="2128"/>
      <c r="AB82" s="2128"/>
      <c r="AC82" s="2128"/>
    </row>
    <row r="83" spans="1:29" ht="14.4" thickBot="1">
      <c r="A83" s="669"/>
      <c r="B83" s="681"/>
      <c r="C83" s="679">
        <v>100</v>
      </c>
      <c r="D83" s="679">
        <f>C83-$K21</f>
        <v>98</v>
      </c>
      <c r="E83" s="679">
        <f>D83-$K21</f>
        <v>96</v>
      </c>
      <c r="F83" s="679">
        <f>E83-$K21</f>
        <v>94</v>
      </c>
      <c r="G83" s="679">
        <f>F83-$K21</f>
        <v>92</v>
      </c>
      <c r="H83" s="935"/>
      <c r="I83" s="935"/>
      <c r="J83" s="935"/>
      <c r="K83" s="935"/>
      <c r="L83" s="935"/>
      <c r="M83" s="559"/>
      <c r="N83" s="2149"/>
      <c r="O83" s="2149"/>
      <c r="P83" s="2148"/>
      <c r="Q83" s="2141"/>
      <c r="R83" s="2128"/>
      <c r="S83" s="2128"/>
      <c r="T83" s="2128"/>
      <c r="U83" s="2128"/>
      <c r="V83" s="2128"/>
      <c r="W83" s="2128"/>
      <c r="X83" s="2128"/>
      <c r="Y83" s="2128"/>
      <c r="Z83" s="2128"/>
      <c r="AA83" s="2128"/>
      <c r="AB83" s="2128"/>
      <c r="AC83" s="2128"/>
    </row>
    <row r="84" spans="1:29" ht="15" thickTop="1">
      <c r="A84" s="669"/>
      <c r="B84" s="673" t="s">
        <v>744</v>
      </c>
      <c r="C84" s="708" t="s">
        <v>579</v>
      </c>
      <c r="D84" s="708" t="s">
        <v>580</v>
      </c>
      <c r="E84" s="708" t="s">
        <v>581</v>
      </c>
      <c r="F84" s="708" t="s">
        <v>582</v>
      </c>
      <c r="G84" s="708" t="s">
        <v>583</v>
      </c>
      <c r="H84" s="674"/>
      <c r="I84" s="674"/>
      <c r="J84" s="674"/>
      <c r="K84" s="675"/>
      <c r="L84" s="676"/>
      <c r="M84" s="677"/>
      <c r="N84" s="2147"/>
      <c r="O84" s="2147"/>
      <c r="P84" s="2148"/>
      <c r="Q84" s="2141"/>
      <c r="R84" s="2128"/>
      <c r="S84" s="2128"/>
      <c r="T84" s="2128"/>
      <c r="U84" s="2128"/>
      <c r="V84" s="2128"/>
      <c r="W84" s="2128"/>
      <c r="X84" s="2128"/>
      <c r="Y84" s="2128"/>
      <c r="Z84" s="2128"/>
      <c r="AA84" s="2128"/>
      <c r="AB84" s="2128"/>
      <c r="AC84" s="2128"/>
    </row>
    <row r="85" spans="1:29" ht="14.4" thickBot="1">
      <c r="A85" s="669"/>
      <c r="B85" s="678"/>
      <c r="C85" s="679">
        <v>100</v>
      </c>
      <c r="D85" s="679">
        <f>C85-$K23</f>
        <v>98</v>
      </c>
      <c r="E85" s="679">
        <f>D85-$K23</f>
        <v>96</v>
      </c>
      <c r="F85" s="679">
        <f>E85-$K23</f>
        <v>94</v>
      </c>
      <c r="G85" s="679">
        <f>F85-$K23</f>
        <v>92</v>
      </c>
      <c r="H85" s="679"/>
      <c r="I85" s="679"/>
      <c r="J85" s="679"/>
      <c r="K85" s="679"/>
      <c r="L85" s="679"/>
      <c r="M85" s="680"/>
      <c r="N85" s="2149"/>
      <c r="O85" s="2149"/>
      <c r="P85" s="2148"/>
      <c r="Q85" s="2141"/>
      <c r="R85" s="2128"/>
      <c r="S85" s="2128"/>
      <c r="T85" s="2128"/>
      <c r="U85" s="2128"/>
      <c r="V85" s="2128"/>
      <c r="W85" s="2128"/>
      <c r="X85" s="2128"/>
      <c r="Y85" s="2128"/>
      <c r="Z85" s="2128"/>
      <c r="AA85" s="2128"/>
      <c r="AB85" s="2128"/>
      <c r="AC85" s="2128"/>
    </row>
    <row r="86" spans="1:29" s="1216" customFormat="1" ht="15" thickTop="1">
      <c r="A86" s="709"/>
      <c r="B86" s="1879" t="s">
        <v>2254</v>
      </c>
      <c r="C86" s="688"/>
      <c r="D86" s="688"/>
      <c r="E86" s="688"/>
      <c r="F86" s="688"/>
      <c r="G86" s="688"/>
      <c r="H86" s="688"/>
      <c r="I86" s="688"/>
      <c r="J86" s="688"/>
      <c r="K86" s="688"/>
      <c r="L86" s="890"/>
      <c r="M86" s="891"/>
      <c r="N86" s="2145"/>
      <c r="O86" s="2145"/>
      <c r="P86" s="2148"/>
      <c r="Q86" s="2141"/>
      <c r="R86" s="1976"/>
      <c r="S86" s="1976"/>
      <c r="T86" s="1976"/>
      <c r="U86" s="1976"/>
      <c r="V86" s="1976"/>
      <c r="W86" s="1976"/>
      <c r="X86" s="1976"/>
      <c r="Y86" s="1976"/>
      <c r="Z86" s="1976"/>
      <c r="AA86" s="1976"/>
      <c r="AB86" s="1976"/>
      <c r="AC86" s="1976"/>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49"/>
      <c r="O87" s="2149"/>
      <c r="P87" s="2148"/>
      <c r="Q87" s="2141"/>
      <c r="R87" s="1976"/>
      <c r="S87" s="1976"/>
      <c r="T87" s="1976"/>
      <c r="U87" s="1976"/>
      <c r="V87" s="1976"/>
      <c r="W87" s="1976"/>
      <c r="X87" s="1976"/>
      <c r="Y87" s="1976"/>
      <c r="Z87" s="1976"/>
      <c r="AA87" s="1976"/>
      <c r="AB87" s="1976"/>
      <c r="AC87" s="1976"/>
    </row>
    <row r="88" spans="1:29" s="1216" customFormat="1" ht="15" thickTop="1">
      <c r="A88" s="709"/>
      <c r="B88" s="673" t="s">
        <v>746</v>
      </c>
      <c r="C88" s="688"/>
      <c r="D88" s="688"/>
      <c r="E88" s="688"/>
      <c r="F88" s="892"/>
      <c r="G88" s="688"/>
      <c r="H88" s="688"/>
      <c r="I88" s="688"/>
      <c r="J88" s="688"/>
      <c r="K88" s="688"/>
      <c r="L88" s="688"/>
      <c r="M88" s="891"/>
      <c r="N88" s="2145"/>
      <c r="O88" s="2145"/>
      <c r="P88" s="2148"/>
      <c r="Q88" s="2141"/>
      <c r="R88" s="1976"/>
      <c r="S88" s="1976"/>
      <c r="T88" s="1976"/>
      <c r="U88" s="1976"/>
      <c r="V88" s="1976"/>
      <c r="W88" s="1976"/>
      <c r="X88" s="1976"/>
      <c r="Y88" s="1976"/>
      <c r="Z88" s="1976"/>
      <c r="AA88" s="1976"/>
      <c r="AB88" s="1976"/>
      <c r="AC88" s="1976"/>
    </row>
    <row r="89" spans="1:29" s="1216" customFormat="1" ht="14.4" thickBot="1">
      <c r="A89" s="709"/>
      <c r="B89" s="678"/>
      <c r="C89" s="712">
        <v>100</v>
      </c>
      <c r="D89" s="679">
        <f t="shared" ref="D89:M89" si="21">C89-$K26</f>
        <v>98</v>
      </c>
      <c r="E89" s="679">
        <f t="shared" si="21"/>
        <v>96</v>
      </c>
      <c r="F89" s="679">
        <f t="shared" si="21"/>
        <v>94</v>
      </c>
      <c r="G89" s="679">
        <f t="shared" si="21"/>
        <v>92</v>
      </c>
      <c r="H89" s="679">
        <f t="shared" si="21"/>
        <v>90</v>
      </c>
      <c r="I89" s="679">
        <f t="shared" si="21"/>
        <v>88</v>
      </c>
      <c r="J89" s="679">
        <f t="shared" si="21"/>
        <v>86</v>
      </c>
      <c r="K89" s="679">
        <f t="shared" si="21"/>
        <v>84</v>
      </c>
      <c r="L89" s="679">
        <f t="shared" si="21"/>
        <v>82</v>
      </c>
      <c r="M89" s="679">
        <f t="shared" si="21"/>
        <v>80</v>
      </c>
      <c r="N89" s="2149"/>
      <c r="O89" s="2149"/>
      <c r="P89" s="2148"/>
      <c r="Q89" s="2141"/>
      <c r="R89" s="1976"/>
      <c r="S89" s="1976"/>
      <c r="T89" s="1976"/>
      <c r="U89" s="1976"/>
      <c r="V89" s="1976"/>
      <c r="W89" s="1976"/>
      <c r="X89" s="1976"/>
      <c r="Y89" s="1976"/>
      <c r="Z89" s="1976"/>
      <c r="AA89" s="1976"/>
      <c r="AB89" s="1976"/>
      <c r="AC89" s="1976"/>
    </row>
    <row r="90" spans="1:29" s="1335" customFormat="1" ht="15" thickTop="1">
      <c r="A90" s="687"/>
      <c r="B90" s="673" t="str">
        <f>B27</f>
        <v>道路级别</v>
      </c>
      <c r="C90" s="3182" t="s">
        <v>3309</v>
      </c>
      <c r="D90" s="3182" t="s">
        <v>3310</v>
      </c>
      <c r="E90" s="3182" t="s">
        <v>3311</v>
      </c>
      <c r="F90" s="3182" t="s">
        <v>3137</v>
      </c>
      <c r="G90" s="3182" t="s">
        <v>3313</v>
      </c>
      <c r="H90" s="689"/>
      <c r="I90" s="689"/>
      <c r="J90" s="689"/>
      <c r="K90" s="689"/>
      <c r="L90" s="690"/>
      <c r="M90" s="691"/>
      <c r="N90" s="2150"/>
      <c r="O90" s="2150"/>
      <c r="P90" s="2151"/>
      <c r="Q90" s="2152"/>
      <c r="R90" s="2153"/>
      <c r="S90" s="2153"/>
      <c r="T90" s="2153"/>
      <c r="U90" s="2153"/>
      <c r="V90" s="2153"/>
      <c r="W90" s="2153"/>
      <c r="X90" s="2153"/>
      <c r="Y90" s="2153"/>
      <c r="Z90" s="2153"/>
      <c r="AA90" s="2153"/>
      <c r="AB90" s="2153"/>
      <c r="AC90" s="2153"/>
    </row>
    <row r="91" spans="1:29" s="1335" customFormat="1" ht="14.4" thickBot="1">
      <c r="A91" s="687"/>
      <c r="B91" s="678"/>
      <c r="C91" s="692">
        <v>100</v>
      </c>
      <c r="D91" s="692">
        <v>98</v>
      </c>
      <c r="E91" s="692">
        <v>96</v>
      </c>
      <c r="F91" s="692">
        <v>94</v>
      </c>
      <c r="G91" s="692">
        <v>92</v>
      </c>
      <c r="H91" s="693"/>
      <c r="I91" s="693"/>
      <c r="J91" s="693"/>
      <c r="K91" s="693"/>
      <c r="L91" s="693"/>
      <c r="M91" s="694"/>
      <c r="N91" s="2150"/>
      <c r="O91" s="2150"/>
      <c r="P91" s="2151"/>
      <c r="Q91" s="2152"/>
      <c r="R91" s="2153"/>
      <c r="S91" s="2153"/>
      <c r="T91" s="2153"/>
      <c r="U91" s="2153"/>
      <c r="V91" s="2153"/>
      <c r="W91" s="2153"/>
      <c r="X91" s="2153"/>
      <c r="Y91" s="2153"/>
      <c r="Z91" s="2153"/>
      <c r="AA91" s="2153"/>
      <c r="AB91" s="2153"/>
      <c r="AC91" s="2153"/>
    </row>
    <row r="92" spans="1:29" ht="14.4" thickTop="1">
      <c r="A92" s="669"/>
      <c r="B92" s="673">
        <f>B28</f>
        <v>111</v>
      </c>
      <c r="C92" s="688"/>
      <c r="D92" s="688"/>
      <c r="E92" s="688"/>
      <c r="F92" s="688"/>
      <c r="G92" s="718"/>
      <c r="H92" s="718"/>
      <c r="I92" s="718"/>
      <c r="J92" s="718"/>
      <c r="K92" s="719"/>
      <c r="L92" s="720"/>
      <c r="M92" s="721"/>
      <c r="N92" s="2147"/>
      <c r="O92" s="2147"/>
      <c r="P92" s="2148"/>
      <c r="Q92" s="2141"/>
      <c r="R92" s="2128"/>
      <c r="S92" s="2128"/>
      <c r="T92" s="2128"/>
      <c r="U92" s="2128"/>
      <c r="V92" s="2128"/>
      <c r="W92" s="2128"/>
      <c r="X92" s="2128"/>
      <c r="Y92" s="2128"/>
      <c r="Z92" s="2128"/>
      <c r="AA92" s="2128"/>
      <c r="AB92" s="2128"/>
      <c r="AC92" s="2128"/>
    </row>
    <row r="93" spans="1:29" ht="14.4" thickBot="1">
      <c r="A93" s="669"/>
      <c r="B93" s="678"/>
      <c r="C93" s="692"/>
      <c r="D93" s="671"/>
      <c r="E93" s="671"/>
      <c r="F93" s="671"/>
      <c r="G93" s="671"/>
      <c r="H93" s="671"/>
      <c r="I93" s="671"/>
      <c r="J93" s="671"/>
      <c r="K93" s="671"/>
      <c r="L93" s="671"/>
      <c r="M93" s="672"/>
      <c r="N93" s="2149"/>
      <c r="O93" s="2149"/>
      <c r="P93" s="2148"/>
      <c r="Q93" s="2141"/>
      <c r="R93" s="2128"/>
      <c r="S93" s="2128"/>
      <c r="T93" s="2128"/>
      <c r="U93" s="2128"/>
      <c r="V93" s="2128"/>
      <c r="W93" s="2128"/>
      <c r="X93" s="2128"/>
      <c r="Y93" s="2128"/>
      <c r="Z93" s="2128"/>
      <c r="AA93" s="2128"/>
      <c r="AB93" s="2128"/>
      <c r="AC93" s="2128"/>
    </row>
    <row r="94" spans="1:29" ht="14.4" thickTop="1">
      <c r="A94" s="669"/>
      <c r="B94" s="673">
        <f>B29</f>
        <v>111</v>
      </c>
      <c r="C94" s="688"/>
      <c r="D94" s="688"/>
      <c r="E94" s="688"/>
      <c r="F94" s="688"/>
      <c r="G94" s="718"/>
      <c r="H94" s="718"/>
      <c r="I94" s="718"/>
      <c r="J94" s="718"/>
      <c r="K94" s="719"/>
      <c r="L94" s="720"/>
      <c r="M94" s="721"/>
      <c r="N94" s="2147"/>
      <c r="O94" s="2147"/>
      <c r="P94" s="2148"/>
      <c r="Q94" s="2141"/>
      <c r="R94" s="2128"/>
      <c r="S94" s="2128"/>
      <c r="T94" s="2128"/>
      <c r="U94" s="2128"/>
      <c r="V94" s="2128"/>
      <c r="W94" s="2128"/>
      <c r="X94" s="2128"/>
      <c r="Y94" s="2128"/>
      <c r="Z94" s="2128"/>
      <c r="AA94" s="2128"/>
      <c r="AB94" s="2128"/>
      <c r="AC94" s="2128"/>
    </row>
    <row r="95" spans="1:29" ht="14.4" thickBot="1">
      <c r="A95" s="669"/>
      <c r="B95" s="678"/>
      <c r="C95" s="692"/>
      <c r="D95" s="692"/>
      <c r="E95" s="692"/>
      <c r="F95" s="692"/>
      <c r="G95" s="671"/>
      <c r="H95" s="671"/>
      <c r="I95" s="671"/>
      <c r="J95" s="671"/>
      <c r="K95" s="671"/>
      <c r="L95" s="671"/>
      <c r="M95" s="672"/>
      <c r="N95" s="2149"/>
      <c r="O95" s="2149"/>
      <c r="P95" s="2148"/>
      <c r="Q95" s="2141"/>
      <c r="R95" s="2128"/>
      <c r="S95" s="2128"/>
      <c r="T95" s="2128"/>
      <c r="U95" s="2128"/>
      <c r="V95" s="2128"/>
      <c r="W95" s="2128"/>
      <c r="X95" s="2128"/>
      <c r="Y95" s="2128"/>
      <c r="Z95" s="2128"/>
      <c r="AA95" s="2128"/>
      <c r="AB95" s="2128"/>
      <c r="AC95" s="2128"/>
    </row>
    <row r="96" spans="1:29" ht="14.4" thickTop="1">
      <c r="A96" s="669"/>
      <c r="B96" s="673">
        <f>B30</f>
        <v>111</v>
      </c>
      <c r="C96" s="688"/>
      <c r="D96" s="688"/>
      <c r="E96" s="688"/>
      <c r="F96" s="688"/>
      <c r="G96" s="718"/>
      <c r="H96" s="718"/>
      <c r="I96" s="718"/>
      <c r="J96" s="718"/>
      <c r="K96" s="719"/>
      <c r="L96" s="720"/>
      <c r="M96" s="721"/>
      <c r="N96" s="2147"/>
      <c r="O96" s="2147"/>
      <c r="P96" s="2148"/>
      <c r="Q96" s="2141"/>
      <c r="R96" s="2128"/>
      <c r="S96" s="2128"/>
      <c r="T96" s="2128"/>
      <c r="U96" s="2128"/>
      <c r="V96" s="2128"/>
      <c r="W96" s="2128"/>
      <c r="X96" s="2128"/>
      <c r="Y96" s="2128"/>
      <c r="Z96" s="2128"/>
      <c r="AA96" s="2128"/>
      <c r="AB96" s="2128"/>
      <c r="AC96" s="2128"/>
    </row>
    <row r="97" spans="1:29" ht="14.4" thickBot="1">
      <c r="A97" s="669"/>
      <c r="B97" s="678"/>
      <c r="C97" s="700"/>
      <c r="D97" s="700"/>
      <c r="E97" s="700"/>
      <c r="F97" s="700"/>
      <c r="G97" s="671"/>
      <c r="H97" s="671"/>
      <c r="I97" s="671"/>
      <c r="J97" s="671"/>
      <c r="K97" s="671"/>
      <c r="L97" s="671"/>
      <c r="M97" s="672"/>
      <c r="N97" s="2149"/>
      <c r="O97" s="2149"/>
      <c r="P97" s="2148"/>
      <c r="Q97" s="2141"/>
      <c r="R97" s="2128"/>
      <c r="S97" s="2128"/>
      <c r="T97" s="2128"/>
      <c r="U97" s="2128"/>
      <c r="V97" s="2128"/>
      <c r="W97" s="2128"/>
      <c r="X97" s="2128"/>
      <c r="Y97" s="2128"/>
      <c r="Z97" s="2128"/>
      <c r="AA97" s="2128"/>
      <c r="AB97" s="2128"/>
      <c r="AC97" s="2128"/>
    </row>
    <row r="98" spans="1:29" ht="14.4" thickTop="1">
      <c r="A98" s="669"/>
      <c r="B98" s="681">
        <f>B31</f>
        <v>111</v>
      </c>
      <c r="C98" s="722"/>
      <c r="D98" s="722"/>
      <c r="E98" s="722"/>
      <c r="F98" s="722"/>
      <c r="G98" s="722"/>
      <c r="H98" s="722"/>
      <c r="I98" s="722"/>
      <c r="J98" s="722"/>
      <c r="K98" s="723"/>
      <c r="L98" s="724"/>
      <c r="M98" s="725"/>
      <c r="N98" s="2147"/>
      <c r="O98" s="2147"/>
      <c r="P98" s="2148"/>
      <c r="Q98" s="2141"/>
      <c r="R98" s="2128"/>
      <c r="S98" s="2128"/>
      <c r="T98" s="2128"/>
      <c r="U98" s="2128"/>
      <c r="V98" s="2128"/>
      <c r="W98" s="2128"/>
      <c r="X98" s="2128"/>
      <c r="Y98" s="2128"/>
      <c r="Z98" s="2128"/>
      <c r="AA98" s="2128"/>
      <c r="AB98" s="2128"/>
      <c r="AC98" s="2128"/>
    </row>
    <row r="99" spans="1:29" ht="14.4" thickBot="1">
      <c r="A99" s="893"/>
      <c r="B99" s="699"/>
      <c r="C99" s="726"/>
      <c r="D99" s="726"/>
      <c r="E99" s="726"/>
      <c r="F99" s="726"/>
      <c r="G99" s="726"/>
      <c r="H99" s="726"/>
      <c r="I99" s="726"/>
      <c r="J99" s="726"/>
      <c r="K99" s="726"/>
      <c r="L99" s="726"/>
      <c r="M99" s="727"/>
      <c r="N99" s="2149"/>
      <c r="O99" s="2149"/>
      <c r="P99" s="2148"/>
      <c r="Q99" s="2141"/>
      <c r="R99" s="2128"/>
      <c r="S99" s="2128"/>
      <c r="T99" s="2128"/>
      <c r="U99" s="2128"/>
      <c r="V99" s="2128"/>
      <c r="W99" s="2128"/>
      <c r="X99" s="2128"/>
      <c r="Y99" s="2128"/>
      <c r="Z99" s="2128"/>
      <c r="AA99" s="2128"/>
      <c r="AB99" s="2128"/>
      <c r="AC99" s="2128"/>
    </row>
    <row r="100" spans="1:29" ht="14.4">
      <c r="A100" s="664" t="s">
        <v>551</v>
      </c>
      <c r="B100" s="665" t="s">
        <v>747</v>
      </c>
      <c r="C100" s="3181" t="s">
        <v>3335</v>
      </c>
      <c r="D100" s="3181" t="s">
        <v>3336</v>
      </c>
      <c r="E100" s="3181" t="s">
        <v>3338</v>
      </c>
      <c r="F100" s="3181" t="s">
        <v>3314</v>
      </c>
      <c r="G100" s="598"/>
      <c r="H100" s="598"/>
      <c r="I100" s="598"/>
      <c r="J100" s="598"/>
      <c r="K100" s="666"/>
      <c r="L100" s="667"/>
      <c r="M100" s="668"/>
      <c r="N100" s="2147"/>
      <c r="O100" s="2147"/>
      <c r="P100" s="2148"/>
      <c r="Q100" s="2141"/>
      <c r="R100" s="2128"/>
      <c r="S100" s="2128"/>
      <c r="T100" s="2128"/>
      <c r="U100" s="2128"/>
      <c r="V100" s="2128"/>
      <c r="W100" s="2128"/>
      <c r="X100" s="2128"/>
      <c r="Y100" s="2128"/>
      <c r="Z100" s="2128"/>
      <c r="AA100" s="2128"/>
      <c r="AB100" s="2128"/>
      <c r="AC100" s="2128"/>
    </row>
    <row r="101" spans="1:29" ht="14.4"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49"/>
      <c r="O101" s="2149"/>
      <c r="P101" s="2148"/>
      <c r="Q101" s="2141"/>
      <c r="R101" s="2128"/>
      <c r="S101" s="2128"/>
      <c r="T101" s="2128"/>
      <c r="U101" s="2128"/>
      <c r="V101" s="2128"/>
      <c r="W101" s="2128"/>
      <c r="X101" s="2128"/>
      <c r="Y101" s="2128"/>
      <c r="Z101" s="2128"/>
      <c r="AA101" s="2128"/>
      <c r="AB101" s="2128"/>
      <c r="AC101" s="2128"/>
    </row>
    <row r="102" spans="1:29" ht="28.2"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5" customFormat="1">
      <c r="A103" s="728"/>
      <c r="B103" s="729"/>
      <c r="C103" s="730">
        <v>0</v>
      </c>
      <c r="D103" s="730">
        <v>100000</v>
      </c>
      <c r="E103" s="730">
        <v>200000</v>
      </c>
      <c r="F103" s="730">
        <v>300000</v>
      </c>
      <c r="G103" s="730"/>
      <c r="H103" s="730"/>
      <c r="I103" s="730"/>
      <c r="J103" s="731"/>
      <c r="K103" s="731"/>
      <c r="L103" s="732"/>
      <c r="M103" s="733"/>
      <c r="N103" s="2150"/>
      <c r="O103" s="2150"/>
      <c r="P103" s="2151"/>
      <c r="Q103" s="2152"/>
      <c r="R103" s="2153"/>
      <c r="S103" s="2153"/>
      <c r="T103" s="2153"/>
      <c r="U103" s="2153"/>
      <c r="V103" s="2153"/>
      <c r="W103" s="2153"/>
      <c r="X103" s="2153"/>
      <c r="Y103" s="2153"/>
      <c r="Z103" s="2153"/>
      <c r="AA103" s="2153"/>
      <c r="AB103" s="2153"/>
      <c r="AC103" s="2153"/>
    </row>
    <row r="104" spans="1:29" s="1335" customFormat="1" ht="14.4" thickBot="1">
      <c r="A104" s="687"/>
      <c r="B104" s="678"/>
      <c r="C104" s="692">
        <v>100</v>
      </c>
      <c r="D104" s="671">
        <v>102</v>
      </c>
      <c r="E104" s="671">
        <v>104</v>
      </c>
      <c r="F104" s="671">
        <v>106</v>
      </c>
      <c r="G104" s="671"/>
      <c r="H104" s="671"/>
      <c r="I104" s="671"/>
      <c r="J104" s="671"/>
      <c r="K104" s="671"/>
      <c r="L104" s="671"/>
      <c r="M104" s="671"/>
      <c r="N104" s="2149"/>
      <c r="O104" s="2149"/>
      <c r="P104" s="2151"/>
      <c r="Q104" s="2152"/>
      <c r="R104" s="2153"/>
      <c r="S104" s="2153"/>
      <c r="T104" s="2153"/>
      <c r="U104" s="2153"/>
      <c r="V104" s="2153"/>
      <c r="W104" s="2153"/>
      <c r="X104" s="2153"/>
      <c r="Y104" s="2153"/>
      <c r="Z104" s="2153"/>
      <c r="AA104" s="2153"/>
      <c r="AB104" s="2153"/>
      <c r="AC104" s="2153"/>
    </row>
    <row r="105" spans="1:29" ht="15" thickTop="1">
      <c r="A105" s="735"/>
      <c r="B105" s="673" t="s">
        <v>749</v>
      </c>
      <c r="C105" s="3182" t="s">
        <v>3315</v>
      </c>
      <c r="D105" s="688"/>
      <c r="E105" s="718"/>
      <c r="F105" s="71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4.4"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5"/>
      <c r="B107" s="673" t="s">
        <v>750</v>
      </c>
      <c r="C107" s="3191" t="s">
        <v>3317</v>
      </c>
      <c r="D107" s="3191" t="s">
        <v>3331</v>
      </c>
      <c r="E107" s="3191" t="s">
        <v>3332</v>
      </c>
      <c r="F107" s="3191" t="s">
        <v>3333</v>
      </c>
      <c r="G107" s="3191" t="s">
        <v>3334</v>
      </c>
      <c r="H107" s="718"/>
      <c r="I107" s="718"/>
      <c r="J107" s="718"/>
      <c r="K107" s="719"/>
      <c r="L107" s="720"/>
      <c r="M107" s="721"/>
      <c r="N107" s="2147"/>
      <c r="O107" s="2147"/>
      <c r="P107" s="2148"/>
      <c r="Q107" s="2141"/>
      <c r="R107" s="2128"/>
      <c r="S107" s="2128"/>
      <c r="T107" s="2128"/>
      <c r="U107" s="2128"/>
      <c r="V107" s="2128"/>
      <c r="W107" s="2128"/>
      <c r="X107" s="2128"/>
      <c r="Y107" s="2128"/>
      <c r="Z107" s="2128"/>
      <c r="AA107" s="2128"/>
      <c r="AB107" s="2128"/>
      <c r="AC107" s="2128"/>
    </row>
    <row r="108" spans="1:29" ht="14.4"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5"/>
      <c r="B109" s="673" t="s">
        <v>751</v>
      </c>
      <c r="C109" s="3182" t="s">
        <v>3320</v>
      </c>
      <c r="D109" s="3182" t="s">
        <v>3321</v>
      </c>
      <c r="E109" s="3182" t="s">
        <v>3322</v>
      </c>
      <c r="F109" s="3191" t="s">
        <v>3324</v>
      </c>
      <c r="G109" s="718"/>
      <c r="H109" s="718"/>
      <c r="I109" s="718"/>
      <c r="J109" s="718"/>
      <c r="K109" s="719"/>
      <c r="L109" s="720"/>
      <c r="M109" s="721"/>
      <c r="N109" s="2147"/>
      <c r="O109" s="2147"/>
      <c r="P109" s="2148"/>
      <c r="Q109" s="2141"/>
      <c r="R109" s="2128"/>
      <c r="S109" s="2128"/>
      <c r="T109" s="2128"/>
      <c r="U109" s="2128"/>
      <c r="V109" s="2128"/>
      <c r="W109" s="2128"/>
      <c r="X109" s="2128"/>
      <c r="Y109" s="2128"/>
      <c r="Z109" s="2128"/>
      <c r="AA109" s="2128"/>
      <c r="AB109" s="2128"/>
      <c r="AC109" s="2128"/>
    </row>
    <row r="110" spans="1:29" ht="14.4"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49"/>
      <c r="O110" s="2149"/>
      <c r="P110" s="2148"/>
      <c r="Q110" s="2141"/>
      <c r="R110" s="2128"/>
      <c r="S110" s="2128"/>
      <c r="T110" s="2128"/>
      <c r="U110" s="2128"/>
      <c r="V110" s="2128"/>
      <c r="W110" s="2128"/>
      <c r="X110" s="2128"/>
      <c r="Y110" s="2128"/>
      <c r="Z110" s="2128"/>
      <c r="AA110" s="2128"/>
      <c r="AB110" s="2128"/>
      <c r="AC110" s="2128"/>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0"/>
      <c r="O111" s="2150"/>
      <c r="P111" s="2151"/>
      <c r="Q111" s="2152"/>
      <c r="R111" s="2153"/>
      <c r="S111" s="2153"/>
      <c r="T111" s="2153"/>
      <c r="U111" s="2153"/>
      <c r="V111" s="2153"/>
      <c r="W111" s="2153"/>
      <c r="X111" s="2153"/>
      <c r="Y111" s="2153"/>
      <c r="Z111" s="2153"/>
      <c r="AA111" s="2153"/>
      <c r="AB111" s="2153"/>
      <c r="AC111" s="2153"/>
    </row>
    <row r="112" spans="1:29" s="1335" customFormat="1">
      <c r="A112" s="728"/>
      <c r="B112" s="681"/>
      <c r="C112" s="894">
        <v>0.5</v>
      </c>
      <c r="D112" s="894">
        <v>0.6</v>
      </c>
      <c r="E112" s="894">
        <v>0.7</v>
      </c>
      <c r="F112" s="894">
        <v>0.8</v>
      </c>
      <c r="G112" s="894">
        <v>0.9</v>
      </c>
      <c r="H112" s="894">
        <v>1.0001</v>
      </c>
      <c r="I112" s="894"/>
      <c r="J112" s="895"/>
      <c r="K112" s="895"/>
      <c r="L112" s="896"/>
      <c r="M112" s="897"/>
      <c r="N112" s="2150"/>
      <c r="O112" s="2150"/>
      <c r="P112" s="2151"/>
      <c r="Q112" s="2152"/>
      <c r="R112" s="2153"/>
      <c r="S112" s="2153"/>
      <c r="T112" s="2153"/>
      <c r="U112" s="2153"/>
      <c r="V112" s="2153"/>
      <c r="W112" s="2153"/>
      <c r="X112" s="2153"/>
      <c r="Y112" s="2153"/>
      <c r="Z112" s="2153"/>
      <c r="AA112" s="2153"/>
      <c r="AB112" s="2153"/>
      <c r="AC112" s="2153"/>
    </row>
    <row r="113" spans="1:29" s="1335" customFormat="1" ht="14.4"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0"/>
      <c r="O113" s="2150"/>
      <c r="P113" s="2151"/>
      <c r="Q113" s="2152"/>
      <c r="R113" s="2153"/>
      <c r="S113" s="2153"/>
      <c r="T113" s="2153"/>
      <c r="U113" s="2153"/>
      <c r="V113" s="2153"/>
      <c r="W113" s="2153"/>
      <c r="X113" s="2153"/>
      <c r="Y113" s="2153"/>
      <c r="Z113" s="2153"/>
      <c r="AA113" s="2153"/>
      <c r="AB113" s="2153"/>
      <c r="AC113" s="2153"/>
    </row>
    <row r="114" spans="1:29" ht="15" thickTop="1">
      <c r="A114" s="735"/>
      <c r="B114" s="673" t="s">
        <v>753</v>
      </c>
      <c r="C114" s="3182" t="s">
        <v>3326</v>
      </c>
      <c r="D114" s="3182" t="s">
        <v>3318</v>
      </c>
      <c r="E114" s="718"/>
      <c r="F114" s="718"/>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4.4"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5"/>
      <c r="B116" s="1879" t="s">
        <v>2553</v>
      </c>
      <c r="C116" s="3182" t="s">
        <v>2560</v>
      </c>
      <c r="D116" s="688"/>
      <c r="E116" s="688"/>
      <c r="F116" s="688"/>
      <c r="G116" s="68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4.4" thickBot="1">
      <c r="A117" s="669"/>
      <c r="B117" s="678"/>
      <c r="C117" s="679">
        <v>100</v>
      </c>
      <c r="D117" s="679">
        <f>C117-$K39</f>
        <v>98</v>
      </c>
      <c r="E117" s="679">
        <f>D117-$K39</f>
        <v>96</v>
      </c>
      <c r="F117" s="679">
        <f>E117-$K39</f>
        <v>94</v>
      </c>
      <c r="G117" s="679">
        <f>F117-$K39</f>
        <v>92</v>
      </c>
      <c r="H117" s="679"/>
      <c r="I117" s="679"/>
      <c r="J117" s="679"/>
      <c r="K117" s="679"/>
      <c r="L117" s="679"/>
      <c r="M117" s="680"/>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t="s">
        <v>754</v>
      </c>
      <c r="C118" s="3191" t="s">
        <v>3339</v>
      </c>
      <c r="D118" s="718"/>
      <c r="E118" s="718"/>
      <c r="F118" s="718"/>
      <c r="G118" s="718"/>
      <c r="H118" s="718"/>
      <c r="I118" s="718"/>
      <c r="J118" s="718"/>
      <c r="K118" s="719"/>
      <c r="L118" s="720"/>
      <c r="M118" s="721"/>
      <c r="N118" s="2147"/>
      <c r="O118" s="2147"/>
      <c r="P118" s="2148"/>
      <c r="Q118" s="2141"/>
      <c r="R118" s="2128"/>
      <c r="S118" s="2128"/>
      <c r="T118" s="2128"/>
      <c r="U118" s="2128"/>
      <c r="V118" s="2128"/>
      <c r="W118" s="2128"/>
      <c r="X118" s="2128"/>
      <c r="Y118" s="2128"/>
      <c r="Z118" s="2128"/>
      <c r="AA118" s="2128"/>
      <c r="AB118" s="2128"/>
      <c r="AC118" s="2128"/>
    </row>
    <row r="119" spans="1:29" ht="14.4"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49"/>
      <c r="O119" s="2149"/>
      <c r="P119" s="2148"/>
      <c r="Q119" s="2141"/>
      <c r="R119" s="2128"/>
      <c r="S119" s="2128"/>
      <c r="T119" s="2128"/>
      <c r="U119" s="2128"/>
      <c r="V119" s="2128"/>
      <c r="W119" s="2128"/>
      <c r="X119" s="2128"/>
      <c r="Y119" s="2128"/>
      <c r="Z119" s="2128"/>
      <c r="AA119" s="2128"/>
      <c r="AB119" s="2128"/>
      <c r="AC119" s="2128"/>
    </row>
    <row r="120" spans="1:29" s="1335" customFormat="1" ht="29.4" thickTop="1">
      <c r="A120" s="728"/>
      <c r="B120" s="673" t="s">
        <v>733</v>
      </c>
      <c r="C120" s="688"/>
      <c r="D120" s="688"/>
      <c r="E120" s="688"/>
      <c r="F120" s="688"/>
      <c r="G120" s="688"/>
      <c r="H120" s="688"/>
      <c r="I120" s="688"/>
      <c r="J120" s="688"/>
      <c r="K120" s="688"/>
      <c r="L120" s="890"/>
      <c r="M120" s="891"/>
      <c r="N120" s="2150"/>
      <c r="O120" s="2150"/>
      <c r="P120" s="2151"/>
      <c r="Q120" s="2152"/>
      <c r="R120" s="2153"/>
      <c r="S120" s="2153"/>
      <c r="T120" s="2153"/>
      <c r="U120" s="2153"/>
      <c r="V120" s="2153"/>
      <c r="W120" s="2153"/>
      <c r="X120" s="2153"/>
      <c r="Y120" s="2153"/>
      <c r="Z120" s="2153"/>
      <c r="AA120" s="2153"/>
      <c r="AB120" s="2153"/>
      <c r="AC120" s="2153"/>
    </row>
    <row r="121" spans="1:29" s="1335" customFormat="1" ht="14.4" thickBot="1">
      <c r="A121" s="687"/>
      <c r="B121" s="670"/>
      <c r="C121" s="692"/>
      <c r="D121" s="671"/>
      <c r="E121" s="671"/>
      <c r="F121" s="671"/>
      <c r="G121" s="671"/>
      <c r="H121" s="671"/>
      <c r="I121" s="671"/>
      <c r="J121" s="671"/>
      <c r="K121" s="671"/>
      <c r="L121" s="671"/>
      <c r="M121" s="671"/>
      <c r="N121" s="2150"/>
      <c r="O121" s="2150"/>
      <c r="P121" s="2151"/>
      <c r="Q121" s="2152"/>
      <c r="R121" s="2153"/>
      <c r="S121" s="2153"/>
      <c r="T121" s="2153"/>
      <c r="U121" s="2153"/>
      <c r="V121" s="2153"/>
      <c r="W121" s="2153"/>
      <c r="X121" s="2153"/>
      <c r="Y121" s="2153"/>
      <c r="Z121" s="2153"/>
      <c r="AA121" s="2153"/>
      <c r="AB121" s="2153"/>
      <c r="AC121" s="2153"/>
    </row>
    <row r="122" spans="1:29" ht="15" thickTop="1">
      <c r="A122" s="735"/>
      <c r="B122" s="673" t="s">
        <v>755</v>
      </c>
      <c r="C122" s="3182" t="s">
        <v>3320</v>
      </c>
      <c r="D122" s="3182" t="s">
        <v>3321</v>
      </c>
      <c r="E122" s="3182" t="s">
        <v>3322</v>
      </c>
      <c r="F122" s="3191" t="s">
        <v>3324</v>
      </c>
      <c r="G122" s="718"/>
      <c r="H122" s="718"/>
      <c r="I122" s="718"/>
      <c r="J122" s="718"/>
      <c r="K122" s="719"/>
      <c r="L122" s="720"/>
      <c r="M122" s="721"/>
      <c r="N122" s="2147"/>
      <c r="O122" s="2147"/>
      <c r="P122" s="2148"/>
      <c r="Q122" s="2141"/>
      <c r="R122" s="2128"/>
      <c r="S122" s="2128"/>
      <c r="T122" s="2128"/>
      <c r="U122" s="2128"/>
      <c r="V122" s="2128"/>
      <c r="W122" s="2128"/>
      <c r="X122" s="2128"/>
      <c r="Y122" s="2128"/>
      <c r="Z122" s="2128"/>
      <c r="AA122" s="2128"/>
      <c r="AB122" s="2128"/>
      <c r="AC122" s="2128"/>
    </row>
    <row r="123" spans="1:29" ht="14.4"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49"/>
      <c r="O123" s="2149"/>
      <c r="P123" s="2148"/>
      <c r="Q123" s="2141"/>
      <c r="R123" s="2128"/>
      <c r="S123" s="2128"/>
      <c r="T123" s="2128"/>
      <c r="U123" s="2128"/>
      <c r="V123" s="2128"/>
      <c r="W123" s="2128"/>
      <c r="X123" s="2128"/>
      <c r="Y123" s="2128"/>
      <c r="Z123" s="2128"/>
      <c r="AA123" s="2128"/>
      <c r="AB123" s="2128"/>
      <c r="AC123" s="2128"/>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7"/>
      <c r="O124" s="2147"/>
      <c r="P124" s="2151"/>
      <c r="Q124" s="2141"/>
      <c r="R124" s="2128"/>
      <c r="S124" s="2128"/>
      <c r="T124" s="2128"/>
      <c r="U124" s="2128"/>
      <c r="V124" s="2128"/>
      <c r="W124" s="2128"/>
      <c r="X124" s="2128"/>
      <c r="Y124" s="2128"/>
      <c r="Z124" s="2128"/>
      <c r="AA124" s="2128"/>
      <c r="AB124" s="2128"/>
      <c r="AC124" s="2128"/>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49"/>
      <c r="O125" s="2149"/>
      <c r="P125" s="2148"/>
      <c r="Q125" s="2141"/>
      <c r="R125" s="2128"/>
      <c r="S125" s="2128"/>
      <c r="T125" s="2128"/>
      <c r="U125" s="2128"/>
      <c r="V125" s="2128"/>
      <c r="W125" s="2128"/>
      <c r="X125" s="2128"/>
      <c r="Y125" s="2128"/>
      <c r="Z125" s="2128"/>
      <c r="AA125" s="2128"/>
      <c r="AB125" s="2128"/>
      <c r="AC125" s="2128"/>
    </row>
    <row r="126" spans="1:29" s="1335" customFormat="1" ht="14.4" thickTop="1">
      <c r="A126" s="728"/>
      <c r="B126" s="673">
        <f>B44</f>
        <v>111</v>
      </c>
      <c r="C126" s="688"/>
      <c r="D126" s="688"/>
      <c r="E126" s="688"/>
      <c r="F126" s="688"/>
      <c r="G126" s="688"/>
      <c r="H126" s="689"/>
      <c r="I126" s="689"/>
      <c r="J126" s="689"/>
      <c r="K126" s="689"/>
      <c r="L126" s="690"/>
      <c r="M126" s="691"/>
      <c r="N126" s="2150"/>
      <c r="O126" s="2150"/>
      <c r="P126" s="2151"/>
      <c r="Q126" s="2152"/>
      <c r="R126" s="2153"/>
      <c r="S126" s="2153"/>
      <c r="T126" s="2153"/>
      <c r="U126" s="2153"/>
      <c r="V126" s="2153"/>
      <c r="W126" s="2153"/>
      <c r="X126" s="2153"/>
      <c r="Y126" s="2153"/>
      <c r="Z126" s="2153"/>
      <c r="AA126" s="2153"/>
      <c r="AB126" s="2153"/>
      <c r="AC126" s="2153"/>
    </row>
    <row r="127" spans="1:29" s="1335" customFormat="1" ht="14.4" thickBot="1">
      <c r="A127" s="687"/>
      <c r="B127" s="678"/>
      <c r="C127" s="692"/>
      <c r="D127" s="671"/>
      <c r="E127" s="671"/>
      <c r="F127" s="671"/>
      <c r="G127" s="692"/>
      <c r="H127" s="693"/>
      <c r="I127" s="693"/>
      <c r="J127" s="693"/>
      <c r="K127" s="693"/>
      <c r="L127" s="693"/>
      <c r="M127" s="694"/>
      <c r="N127" s="2150"/>
      <c r="O127" s="2150"/>
      <c r="P127" s="2151"/>
      <c r="Q127" s="2152"/>
      <c r="R127" s="2153"/>
      <c r="S127" s="2153"/>
      <c r="T127" s="2153"/>
      <c r="U127" s="2153"/>
      <c r="V127" s="2153"/>
      <c r="W127" s="2153"/>
      <c r="X127" s="2153"/>
      <c r="Y127" s="2153"/>
      <c r="Z127" s="2153"/>
      <c r="AA127" s="2153"/>
      <c r="AB127" s="2153"/>
      <c r="AC127" s="2153"/>
    </row>
    <row r="128" spans="1:29" ht="14.4" thickTop="1">
      <c r="A128" s="735"/>
      <c r="B128" s="673">
        <f>B45</f>
        <v>111</v>
      </c>
      <c r="C128" s="688"/>
      <c r="D128" s="688"/>
      <c r="E128" s="688"/>
      <c r="F128" s="688"/>
      <c r="G128" s="718"/>
      <c r="H128" s="718"/>
      <c r="I128" s="718"/>
      <c r="J128" s="718"/>
      <c r="K128" s="719"/>
      <c r="L128" s="720"/>
      <c r="M128" s="721"/>
      <c r="N128" s="2147"/>
      <c r="O128" s="2147"/>
      <c r="P128" s="2148"/>
      <c r="Q128" s="2141"/>
      <c r="R128" s="2128"/>
      <c r="S128" s="2128"/>
      <c r="T128" s="2128"/>
      <c r="U128" s="2128"/>
      <c r="V128" s="2128"/>
      <c r="W128" s="2128"/>
      <c r="X128" s="2128"/>
      <c r="Y128" s="2128"/>
      <c r="Z128" s="2128"/>
      <c r="AA128" s="2128"/>
      <c r="AB128" s="2128"/>
      <c r="AC128" s="2128"/>
    </row>
    <row r="129" spans="1:29" ht="14.4" thickBot="1">
      <c r="A129" s="669"/>
      <c r="B129" s="678"/>
      <c r="C129" s="692"/>
      <c r="D129" s="692"/>
      <c r="E129" s="692"/>
      <c r="F129" s="692"/>
      <c r="G129" s="671"/>
      <c r="H129" s="671"/>
      <c r="I129" s="671"/>
      <c r="J129" s="671"/>
      <c r="K129" s="671"/>
      <c r="L129" s="671"/>
      <c r="M129" s="672"/>
      <c r="N129" s="2149"/>
      <c r="O129" s="2149"/>
      <c r="P129" s="2148"/>
      <c r="Q129" s="2141"/>
      <c r="R129" s="2128"/>
      <c r="S129" s="2128"/>
      <c r="T129" s="2128"/>
      <c r="U129" s="2128"/>
      <c r="V129" s="2128"/>
      <c r="W129" s="2128"/>
      <c r="X129" s="2128"/>
      <c r="Y129" s="2128"/>
      <c r="Z129" s="2128"/>
      <c r="AA129" s="2128"/>
      <c r="AB129" s="2128"/>
      <c r="AC129" s="2128"/>
    </row>
    <row r="130" spans="1:29" ht="14.4" thickTop="1">
      <c r="A130" s="735"/>
      <c r="B130" s="681">
        <f>B46</f>
        <v>111</v>
      </c>
      <c r="C130" s="688"/>
      <c r="D130" s="688"/>
      <c r="E130" s="688"/>
      <c r="F130" s="688"/>
      <c r="G130" s="722"/>
      <c r="H130" s="722"/>
      <c r="I130" s="722"/>
      <c r="J130" s="722"/>
      <c r="K130" s="661"/>
      <c r="L130" s="662"/>
      <c r="M130" s="725"/>
      <c r="N130" s="2147"/>
      <c r="O130" s="2147"/>
      <c r="P130" s="2148"/>
      <c r="Q130" s="2141"/>
      <c r="R130" s="2128"/>
      <c r="S130" s="2128"/>
      <c r="T130" s="2128"/>
      <c r="U130" s="2128"/>
      <c r="V130" s="2128"/>
      <c r="W130" s="2128"/>
      <c r="X130" s="2128"/>
      <c r="Y130" s="2128"/>
      <c r="Z130" s="2128"/>
      <c r="AA130" s="2128"/>
      <c r="AB130" s="2128"/>
      <c r="AC130" s="2128"/>
    </row>
    <row r="131" spans="1:29" ht="14.4" thickBot="1">
      <c r="A131" s="893"/>
      <c r="B131" s="699"/>
      <c r="C131" s="700"/>
      <c r="D131" s="700"/>
      <c r="E131" s="700"/>
      <c r="F131" s="700"/>
      <c r="G131" s="726"/>
      <c r="H131" s="726"/>
      <c r="I131" s="726"/>
      <c r="J131" s="726"/>
      <c r="K131" s="726"/>
      <c r="L131" s="726"/>
      <c r="M131" s="727"/>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2255</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ht="15.6">
      <c r="A137" s="2162"/>
      <c r="B137" s="1901" t="s">
        <v>2256</v>
      </c>
      <c r="C137" s="1902"/>
      <c r="D137" s="1902"/>
      <c r="E137" s="1902"/>
      <c r="F137" s="1902"/>
      <c r="G137" s="1903"/>
      <c r="H137" s="1904"/>
      <c r="I137" s="1905" t="s">
        <v>2257</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ht="15.6">
      <c r="A138" s="2162"/>
      <c r="B138" s="1907"/>
      <c r="C138" s="1908" t="s">
        <v>2258</v>
      </c>
      <c r="D138" s="1908" t="s">
        <v>2259</v>
      </c>
      <c r="E138" s="1909" t="s">
        <v>2260</v>
      </c>
      <c r="F138" s="1910" t="s">
        <v>2261</v>
      </c>
      <c r="G138" s="1908" t="s">
        <v>2259</v>
      </c>
      <c r="H138" s="1911" t="s">
        <v>2260</v>
      </c>
      <c r="I138" s="1912"/>
      <c r="J138" s="1908" t="s">
        <v>2264</v>
      </c>
      <c r="K138" s="1911" t="s">
        <v>2265</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2266</v>
      </c>
      <c r="E139" s="1882">
        <v>100</v>
      </c>
      <c r="F139" s="1883">
        <v>102.5</v>
      </c>
      <c r="G139" s="1913" t="s">
        <v>2266</v>
      </c>
      <c r="H139" s="1884">
        <v>105</v>
      </c>
      <c r="I139" s="1914" t="s">
        <v>2268</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6">
      <c r="A140" s="2162"/>
      <c r="B140" s="1886">
        <v>5</v>
      </c>
      <c r="C140" s="1887">
        <v>100</v>
      </c>
      <c r="D140" s="1915"/>
      <c r="E140" s="1888"/>
      <c r="F140" s="1889">
        <v>102</v>
      </c>
      <c r="G140" s="1915"/>
      <c r="H140" s="1890"/>
      <c r="I140" s="1916" t="s">
        <v>2269</v>
      </c>
      <c r="J140" s="846">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6">
      <c r="A141" s="2162"/>
      <c r="B141" s="1886">
        <v>4</v>
      </c>
      <c r="C141" s="1887">
        <v>102</v>
      </c>
      <c r="D141" s="1915"/>
      <c r="E141" s="1888"/>
      <c r="F141" s="1889">
        <v>101.5</v>
      </c>
      <c r="G141" s="1915"/>
      <c r="H141" s="1890"/>
      <c r="I141" s="1916" t="s">
        <v>2270</v>
      </c>
      <c r="J141" s="846">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6">
      <c r="A142" s="2162"/>
      <c r="B142" s="1886">
        <v>3</v>
      </c>
      <c r="C142" s="1887">
        <v>103</v>
      </c>
      <c r="D142" s="1915"/>
      <c r="E142" s="1888"/>
      <c r="F142" s="1889">
        <v>101</v>
      </c>
      <c r="G142" s="1915"/>
      <c r="H142" s="1890"/>
      <c r="I142" s="1916" t="s">
        <v>2271</v>
      </c>
      <c r="J142" s="846">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6">
      <c r="A143" s="2162"/>
      <c r="B143" s="1886">
        <v>2</v>
      </c>
      <c r="C143" s="1887">
        <v>100</v>
      </c>
      <c r="D143" s="1915"/>
      <c r="E143" s="1888"/>
      <c r="F143" s="1889">
        <v>100.5</v>
      </c>
      <c r="G143" s="1915"/>
      <c r="H143" s="1890"/>
      <c r="I143" s="1916" t="s">
        <v>2272</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2273</v>
      </c>
      <c r="E144" s="1888">
        <v>102</v>
      </c>
      <c r="F144" s="1894">
        <v>100</v>
      </c>
      <c r="G144" s="1917" t="s">
        <v>2273</v>
      </c>
      <c r="H144" s="1890">
        <v>105</v>
      </c>
      <c r="I144" s="1916" t="s">
        <v>2272</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6.2" thickBot="1">
      <c r="A145" s="2162"/>
      <c r="B145" s="1918" t="s">
        <v>2274</v>
      </c>
      <c r="C145" s="1895">
        <f>ROUND(MAX(C139:C144)/MIN(C139:C144)-1,3)</f>
        <v>7.2999999999999995E-2</v>
      </c>
      <c r="D145" s="1919"/>
      <c r="E145" s="1919"/>
      <c r="F145" s="1920" t="s">
        <v>2275</v>
      </c>
      <c r="G145" s="1921"/>
      <c r="H145" s="1922"/>
      <c r="I145" s="1923" t="s">
        <v>2272</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ht="14.4">
      <c r="A147" s="2162"/>
      <c r="B147" s="1942" t="s">
        <v>2284</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ht="14.4">
      <c r="A148" s="2162"/>
      <c r="B148" s="1942" t="s">
        <v>2285</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P8:Q8"/>
    <mergeCell ref="Y8:Z8"/>
    <mergeCell ref="P9:P14"/>
    <mergeCell ref="Y9:Y14"/>
    <mergeCell ref="P15:P31"/>
    <mergeCell ref="Y15:Y31"/>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233"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1">
    <dataValidation type="list" allowBlank="1" showInputMessage="1" showErrorMessage="1" sqref="F1" xr:uid="{9EE48B40-8B15-463D-AD0D-865F89557B46}">
      <formula1>"售价,租金"</formula1>
    </dataValidation>
    <dataValidation type="list" allowBlank="1" showInputMessage="1" showErrorMessage="1" sqref="C22 E22 G22 I22" xr:uid="{5A4BE285-B062-428A-BB66-0C84366794C4}">
      <formula1>基础设施水平</formula1>
    </dataValidation>
    <dataValidation type="list" allowBlank="1" showInputMessage="1" showErrorMessage="1" sqref="E9 G9 I9" xr:uid="{71374838-60C2-48E6-B179-C986046ADF46}">
      <formula1>住宅用途</formula1>
    </dataValidation>
    <dataValidation type="list" allowBlank="1" showInputMessage="1" showErrorMessage="1" sqref="C10 E10 G10 I10" xr:uid="{922027D1-3C8A-40C6-AF46-DFBCB89D5BCA}">
      <formula1>土地年限区间</formula1>
    </dataValidation>
    <dataValidation type="list" allowBlank="1" showInputMessage="1" showErrorMessage="1" sqref="D1" xr:uid="{B70E341E-E3B5-42E5-BE7B-18C53892B498}">
      <formula1>项目类型</formula1>
    </dataValidation>
    <dataValidation type="list" allowBlank="1" showInputMessage="1" showErrorMessage="1" sqref="E8 G8 I8 C8" xr:uid="{CD414924-0EB4-4671-B5DC-13CBB98F678E}">
      <formula1>住宅交易情况</formula1>
    </dataValidation>
    <dataValidation type="list" allowBlank="1" showInputMessage="1" showErrorMessage="1" sqref="E43 G43 I43 C43" xr:uid="{94AA3D7A-2D44-40B4-94A4-A923453D74CF}">
      <formula1>内部装修维护情况</formula1>
    </dataValidation>
    <dataValidation type="list" allowBlank="1" showInputMessage="1" showErrorMessage="1" sqref="E42 G42 I42 C42" xr:uid="{45E07F60-E9CA-4647-809D-FB1D719FF1D0}">
      <formula1>住宅内部装修</formula1>
    </dataValidation>
    <dataValidation type="list" allowBlank="1" showInputMessage="1" showErrorMessage="1" sqref="E40 G40 I40 C40" xr:uid="{0A776226-E2B2-44FA-9AF9-58454DD55945}">
      <formula1>住宅房型</formula1>
    </dataValidation>
    <dataValidation type="list" allowBlank="1" showInputMessage="1" showErrorMessage="1" sqref="E39 G39 I39 C39" xr:uid="{62AECBBB-8BD6-457C-A434-ACDCF8FDFBA0}">
      <formula1>住宅基础设施水平</formula1>
    </dataValidation>
    <dataValidation type="list" allowBlank="1" showInputMessage="1" showErrorMessage="1" sqref="E38 G38 I38 C38" xr:uid="{D25CFC11-2E02-4488-A1C2-514829CEC870}">
      <formula1>住宅物业管理</formula1>
    </dataValidation>
    <dataValidation type="list" allowBlank="1" showInputMessage="1" showErrorMessage="1" sqref="E36 G36 I36 C36" xr:uid="{A960A6CA-8217-430B-B85F-142E51326335}">
      <formula1>住宅公共部分装修</formula1>
    </dataValidation>
    <dataValidation type="list" allowBlank="1" showInputMessage="1" showErrorMessage="1" sqref="E35 G35 I35 C35" xr:uid="{99D951A9-FDFD-4AF8-B18E-07D4C4482609}">
      <formula1>住宅建筑品质</formula1>
    </dataValidation>
    <dataValidation type="list" allowBlank="1" showInputMessage="1" showErrorMessage="1" sqref="E34 G34 I34 C34" xr:uid="{FC276E97-33D4-47E7-9DA4-573D772ADAAA}">
      <formula1>住宅建筑结构</formula1>
    </dataValidation>
    <dataValidation type="list" allowBlank="1" showInputMessage="1" showErrorMessage="1" sqref="E32 G32 I32 C32" xr:uid="{C3F0DF65-29AF-4284-B941-F3AA1E017AE5}">
      <formula1>住宅建筑类型</formula1>
    </dataValidation>
    <dataValidation type="list" allowBlank="1" showInputMessage="1" showErrorMessage="1" sqref="E26 G26 I26 C26" xr:uid="{CAEE1625-B5B0-4135-AFD1-F4846167EB94}">
      <formula1>住宅朝向</formula1>
    </dataValidation>
    <dataValidation type="list" allowBlank="1" showInputMessage="1" showErrorMessage="1" sqref="E25 G25 I25 C25" xr:uid="{16AB1BDD-FA84-40FC-BA0B-FF50A39ED45F}">
      <formula1>住宅楼层</formula1>
    </dataValidation>
    <dataValidation type="list" allowBlank="1" showInputMessage="1" showErrorMessage="1" sqref="C20 G20 I20 E20" xr:uid="{3B44C362-08D5-4140-8498-58A06BABFBEB}">
      <formula1>公共配套设施</formula1>
    </dataValidation>
    <dataValidation type="list" allowBlank="1" showInputMessage="1" showErrorMessage="1" sqref="E18 G18 I18 C18" xr:uid="{DE686B9C-EFFA-47E3-B4CF-919B663DA250}">
      <formula1>交通便捷度</formula1>
    </dataValidation>
    <dataValidation type="list" allowBlank="1" showInputMessage="1" showErrorMessage="1" sqref="E16 G16 I16 C16" xr:uid="{A4B2BB80-762D-4681-9838-0843096F553C}">
      <formula1>居住社区成熟度</formula1>
    </dataValidation>
    <dataValidation type="list" allowBlank="1" showInputMessage="1" showErrorMessage="1" sqref="E24 G24 I24 C24" xr:uid="{1415F736-E9C5-43A4-8AED-59855DF91806}">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
    <tabColor rgb="FF92D050"/>
    <pageSetUpPr fitToPage="1"/>
  </sheetPr>
  <dimension ref="A1:AG76"/>
  <sheetViews>
    <sheetView zoomScale="80" zoomScaleNormal="80" workbookViewId="0">
      <selection activeCell="K40" sqref="K40"/>
    </sheetView>
  </sheetViews>
  <sheetFormatPr defaultColWidth="9" defaultRowHeight="15"/>
  <cols>
    <col min="1" max="1" width="9" style="2043" customWidth="1"/>
    <col min="2" max="2" width="20.6640625" style="2082" customWidth="1"/>
    <col min="3" max="3" width="11.88671875" style="2082" customWidth="1"/>
    <col min="4" max="4" width="40.44140625" style="2043" customWidth="1"/>
    <col min="5" max="5" width="15.77734375" style="2043" customWidth="1"/>
    <col min="6" max="6" width="10.6640625" style="2043" customWidth="1"/>
    <col min="7" max="7" width="4.88671875" style="2043" customWidth="1"/>
    <col min="8" max="8" width="8.44140625" style="2043" customWidth="1"/>
    <col min="9" max="9" width="21.21875" style="2043" customWidth="1"/>
    <col min="10" max="10" width="12.21875" style="2043" customWidth="1"/>
    <col min="11" max="11" width="40.109375" style="2083" customWidth="1"/>
    <col min="12" max="12" width="18.33203125" style="2043" customWidth="1"/>
    <col min="13" max="13" width="13" style="2043" customWidth="1"/>
    <col min="14" max="14" width="9.44140625" style="2042" bestFit="1" customWidth="1"/>
    <col min="15" max="15" width="5.88671875" style="2042" customWidth="1"/>
    <col min="16" max="16" width="27.6640625" style="2042" customWidth="1"/>
    <col min="17" max="17" width="13.77734375" style="2080" customWidth="1"/>
    <col min="18" max="18" width="23.44140625" style="2042" customWidth="1"/>
    <col min="19" max="19" width="1.44140625" style="2042" customWidth="1"/>
    <col min="20" max="33" width="9" style="2042"/>
    <col min="34" max="16384" width="9" style="2043"/>
  </cols>
  <sheetData>
    <row r="1" spans="1:33" s="2037" customFormat="1" ht="21.6">
      <c r="A1" s="832" t="s">
        <v>1724</v>
      </c>
      <c r="B1" s="738"/>
      <c r="C1" s="773" t="s">
        <v>3132</v>
      </c>
      <c r="D1" s="3072" t="s">
        <v>3203</v>
      </c>
      <c r="E1" s="2349" t="s">
        <v>2371</v>
      </c>
      <c r="F1" s="2350">
        <f ca="1">J53</f>
        <v>31.78</v>
      </c>
      <c r="G1" s="774">
        <f>MATCH(C1,'数据-取费表'!A6:A16,0)+5</f>
        <v>8</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3" t="s">
        <v>1725</v>
      </c>
      <c r="B2" s="775">
        <f ca="1">C40+J29+L46</f>
        <v>22514</v>
      </c>
      <c r="C2" s="2040"/>
      <c r="D2" s="2038"/>
      <c r="E2" s="2039"/>
      <c r="F2" s="2039"/>
      <c r="G2" s="1576"/>
      <c r="H2" s="2040"/>
      <c r="I2" s="2040"/>
      <c r="J2" s="2040"/>
      <c r="K2" s="2041"/>
      <c r="L2" s="2040"/>
      <c r="M2" s="2040"/>
    </row>
    <row r="3" spans="1:33" ht="18" customHeight="1" thickBot="1">
      <c r="A3" s="833" t="s">
        <v>1726</v>
      </c>
      <c r="B3" s="834">
        <f ca="1">IF(ISERROR(B2*10000/F43),0,ROUND(B2*10000/F43,0))</f>
        <v>7001</v>
      </c>
      <c r="C3" s="2040"/>
      <c r="D3" s="2038"/>
      <c r="E3" s="2039"/>
      <c r="F3" s="2039"/>
      <c r="G3" s="1576"/>
      <c r="H3" s="776" t="s">
        <v>695</v>
      </c>
      <c r="I3" s="1359"/>
      <c r="J3" s="1359"/>
      <c r="K3" s="1577"/>
      <c r="L3" s="1359"/>
      <c r="M3" s="1359"/>
    </row>
    <row r="4" spans="1:33" ht="18" customHeight="1">
      <c r="A4" s="777" t="s">
        <v>1727</v>
      </c>
      <c r="B4" s="778" t="s">
        <v>1728</v>
      </c>
      <c r="C4" s="778" t="s">
        <v>1729</v>
      </c>
      <c r="D4" s="778" t="s">
        <v>633</v>
      </c>
      <c r="E4" s="779" t="s">
        <v>1730</v>
      </c>
      <c r="F4" s="780"/>
      <c r="G4" s="1578"/>
      <c r="H4" s="777" t="s">
        <v>1731</v>
      </c>
      <c r="I4" s="778" t="s">
        <v>1732</v>
      </c>
      <c r="J4" s="778" t="s">
        <v>1733</v>
      </c>
      <c r="K4" s="778" t="s">
        <v>1734</v>
      </c>
      <c r="L4" s="779" t="s">
        <v>1735</v>
      </c>
      <c r="M4" s="780"/>
    </row>
    <row r="5" spans="1:33" ht="18" customHeight="1">
      <c r="A5" s="781">
        <v>1</v>
      </c>
      <c r="B5" s="782" t="s">
        <v>2455</v>
      </c>
      <c r="C5" s="55">
        <f ca="1">C6+C10+C12</f>
        <v>1638</v>
      </c>
      <c r="D5" s="2458" t="s">
        <v>2458</v>
      </c>
      <c r="E5" s="2452"/>
      <c r="F5" s="2453"/>
      <c r="G5" s="1578"/>
      <c r="H5" s="781">
        <v>1</v>
      </c>
      <c r="I5" s="782" t="s">
        <v>2455</v>
      </c>
      <c r="J5" s="55">
        <f ca="1">J6+J10+J12</f>
        <v>0</v>
      </c>
      <c r="K5" s="2458" t="s">
        <v>2458</v>
      </c>
      <c r="L5" s="2452"/>
      <c r="M5" s="2453"/>
    </row>
    <row r="6" spans="1:33" ht="18" customHeight="1">
      <c r="A6" s="1813" t="s">
        <v>1823</v>
      </c>
      <c r="B6" s="3584" t="s">
        <v>2460</v>
      </c>
      <c r="C6" s="783">
        <f ca="1">ROUND(F6*F8*F7*(1-F9)/10000,0)</f>
        <v>1636</v>
      </c>
      <c r="D6" s="2459" t="s">
        <v>2459</v>
      </c>
      <c r="E6" s="784" t="s">
        <v>1737</v>
      </c>
      <c r="F6" s="785">
        <f ca="1">INDIRECT("'数据-取费表'!u"&amp;$G$1)</f>
        <v>1.64</v>
      </c>
      <c r="G6" s="1578"/>
      <c r="H6" s="2466" t="s">
        <v>2465</v>
      </c>
      <c r="I6" s="3584" t="s">
        <v>2460</v>
      </c>
      <c r="J6" s="783">
        <f ca="1">ROUND(M6*M8*M7*(1-M9)/10000,0)</f>
        <v>0</v>
      </c>
      <c r="K6" s="341" t="s">
        <v>1736</v>
      </c>
      <c r="L6" s="784" t="s">
        <v>1737</v>
      </c>
      <c r="M6" s="785">
        <f ca="1">INDIRECT("'数据-取费表'!z"&amp;$G$1)</f>
        <v>0</v>
      </c>
    </row>
    <row r="7" spans="1:33" ht="18" customHeight="1">
      <c r="A7" s="2462"/>
      <c r="B7" s="3585"/>
      <c r="C7" s="788"/>
      <c r="D7" s="789"/>
      <c r="E7" s="784" t="s">
        <v>1738</v>
      </c>
      <c r="F7" s="785">
        <f ca="1">IF(INDIRECT("'数据-取费表'!ah"&amp;$G$1)="",INDIRECT("'数据-取费表'!k"&amp;$G$1),INDIRECT("'数据-取费表'!ah"&amp;$G$1))</f>
        <v>32157.53</v>
      </c>
      <c r="G7" s="1578"/>
      <c r="H7" s="2451"/>
      <c r="I7" s="3585"/>
      <c r="J7" s="788"/>
      <c r="K7" s="789"/>
      <c r="L7" s="784" t="s">
        <v>1738</v>
      </c>
      <c r="M7" s="785">
        <f ca="1">F7</f>
        <v>32157.53</v>
      </c>
    </row>
    <row r="8" spans="1:33" ht="18" customHeight="1">
      <c r="A8" s="2455"/>
      <c r="B8" s="3586"/>
      <c r="C8" s="788"/>
      <c r="D8" s="789"/>
      <c r="E8" s="784" t="s">
        <v>1739</v>
      </c>
      <c r="F8" s="785">
        <f ca="1">INDIRECT("'数据-取费表'!ai"&amp;$G$1)</f>
        <v>365</v>
      </c>
      <c r="G8" s="1578"/>
      <c r="H8" s="2451"/>
      <c r="I8" s="3586"/>
      <c r="J8" s="788"/>
      <c r="K8" s="789"/>
      <c r="L8" s="784" t="s">
        <v>1739</v>
      </c>
      <c r="M8" s="785">
        <f ca="1">INDIRECT("'数据-取费表'!ai"&amp;$G$1)</f>
        <v>365</v>
      </c>
    </row>
    <row r="9" spans="1:33" ht="18" customHeight="1">
      <c r="A9" s="786"/>
      <c r="B9" s="3587"/>
      <c r="C9" s="788"/>
      <c r="D9" s="789"/>
      <c r="E9" s="784" t="s">
        <v>1740</v>
      </c>
      <c r="F9" s="794">
        <f ca="1">INDIRECT("'数据-取费表'!w"&amp;$G$1)</f>
        <v>0.15</v>
      </c>
      <c r="G9" s="1578"/>
      <c r="H9" s="2467"/>
      <c r="I9" s="3586"/>
      <c r="J9" s="788"/>
      <c r="K9" s="789"/>
      <c r="L9" s="795" t="s">
        <v>1740</v>
      </c>
      <c r="M9" s="796">
        <f ca="1">INDIRECT("'数据-取费表'!ab"&amp;$G$1)</f>
        <v>0</v>
      </c>
    </row>
    <row r="10" spans="1:33" ht="18" customHeight="1">
      <c r="A10" s="1813" t="s">
        <v>2463</v>
      </c>
      <c r="B10" s="2456" t="s">
        <v>2456</v>
      </c>
      <c r="C10" s="799">
        <f ca="1">ROUND(IF(F10="押一",C6/12*F11,IF(F10="押二",C6/12*2*F11,IF(F10="押三",C6/12*3*F11,C11*F11))),0)</f>
        <v>2</v>
      </c>
      <c r="D10" s="2463" t="s">
        <v>2967</v>
      </c>
      <c r="E10" s="2460" t="s">
        <v>2461</v>
      </c>
      <c r="F10" s="2583" t="s">
        <v>3185</v>
      </c>
      <c r="G10" s="1578"/>
      <c r="H10" s="2523" t="s">
        <v>2466</v>
      </c>
      <c r="I10" s="2528" t="s">
        <v>2456</v>
      </c>
      <c r="J10" s="783">
        <f ca="1">ROUND(IF(M10="押一",J6/12*M11,IF(M10="押二",J6/12*2*M11,IF(M10="押三",J6/12*3*M11,J11*M11))),0)</f>
        <v>0</v>
      </c>
      <c r="K10" s="2463" t="s">
        <v>2967</v>
      </c>
      <c r="L10" s="2460" t="s">
        <v>2461</v>
      </c>
      <c r="M10" s="2583"/>
    </row>
    <row r="11" spans="1:33" ht="18" customHeight="1">
      <c r="A11" s="790"/>
      <c r="B11" s="2457" t="s">
        <v>2570</v>
      </c>
      <c r="C11" s="2461"/>
      <c r="D11" s="789"/>
      <c r="E11" s="2460" t="s">
        <v>2462</v>
      </c>
      <c r="F11" s="796">
        <f ca="1">'数据-取费表'!B39</f>
        <v>1.4999999999999999E-2</v>
      </c>
      <c r="G11" s="1578"/>
      <c r="H11" s="2524"/>
      <c r="I11" s="2457" t="s">
        <v>2570</v>
      </c>
      <c r="J11" s="2461"/>
      <c r="K11" s="2525"/>
      <c r="L11" s="2460" t="s">
        <v>2462</v>
      </c>
      <c r="M11" s="2454">
        <f ca="1">'数据-取费表'!B39</f>
        <v>1.4999999999999999E-2</v>
      </c>
    </row>
    <row r="12" spans="1:33" ht="18" customHeight="1" thickBot="1">
      <c r="A12" s="2499" t="s">
        <v>2464</v>
      </c>
      <c r="B12" s="2500" t="s">
        <v>2457</v>
      </c>
      <c r="C12" s="2501"/>
      <c r="D12" s="2502"/>
      <c r="E12" s="2503"/>
      <c r="F12" s="2504"/>
      <c r="G12" s="1578"/>
      <c r="H12" s="2513" t="s">
        <v>2467</v>
      </c>
      <c r="I12" s="2526" t="s">
        <v>2457</v>
      </c>
      <c r="J12" s="2527"/>
      <c r="K12" s="2502"/>
      <c r="L12" s="2503"/>
      <c r="M12" s="2516"/>
    </row>
    <row r="13" spans="1:33" ht="18" customHeight="1" thickTop="1">
      <c r="A13" s="1812">
        <v>2</v>
      </c>
      <c r="B13" s="1810" t="s">
        <v>1741</v>
      </c>
      <c r="C13" s="792">
        <f ca="1">ROUND(C29*F13,0)</f>
        <v>9080</v>
      </c>
      <c r="D13" s="1817" t="s">
        <v>2294</v>
      </c>
      <c r="E13" s="1817" t="s">
        <v>1743</v>
      </c>
      <c r="F13" s="2498">
        <f ca="1">INDIRECT("'数据-取费表'!y"&amp;$G$1)</f>
        <v>1</v>
      </c>
      <c r="G13" s="1578"/>
      <c r="H13" s="1812">
        <v>2</v>
      </c>
      <c r="I13" s="1810" t="s">
        <v>1741</v>
      </c>
      <c r="J13" s="1802">
        <f ca="1">ROUND(J14*J15,0)</f>
        <v>0</v>
      </c>
      <c r="K13" s="1804" t="s">
        <v>1742</v>
      </c>
      <c r="L13" s="2514"/>
      <c r="M13" s="2515"/>
    </row>
    <row r="14" spans="1:33" ht="18" customHeight="1">
      <c r="A14" s="1633" t="s">
        <v>1883</v>
      </c>
      <c r="B14" s="784" t="s">
        <v>645</v>
      </c>
      <c r="C14" s="804">
        <f ca="1">INDIRECT("'数据-取费表'!m"&amp;$G$1)+INDIRECT("'数据-取费表'!t"&amp;$G$1)</f>
        <v>5939</v>
      </c>
      <c r="D14" s="1962" t="s">
        <v>1744</v>
      </c>
      <c r="E14" s="1963"/>
      <c r="F14" s="805"/>
      <c r="G14" s="1578"/>
      <c r="H14" s="1634" t="s">
        <v>1829</v>
      </c>
      <c r="I14" s="2214" t="s">
        <v>2822</v>
      </c>
      <c r="J14" s="53">
        <f ca="1">C29</f>
        <v>9080</v>
      </c>
      <c r="K14" s="26"/>
      <c r="L14" s="801"/>
      <c r="M14" s="802"/>
    </row>
    <row r="15" spans="1:33" s="2047" customFormat="1" ht="18" customHeight="1" thickBot="1">
      <c r="A15" s="1633" t="s">
        <v>1884</v>
      </c>
      <c r="B15" s="784" t="s">
        <v>647</v>
      </c>
      <c r="C15" s="53">
        <f ca="1">ROUND(C14*F15,0)</f>
        <v>178</v>
      </c>
      <c r="D15" s="806" t="s">
        <v>1745</v>
      </c>
      <c r="E15" s="806" t="s">
        <v>1746</v>
      </c>
      <c r="F15" s="807">
        <f>'数据-取费表'!B33</f>
        <v>0.03</v>
      </c>
      <c r="G15" s="1579"/>
      <c r="H15" s="2513" t="s">
        <v>1888</v>
      </c>
      <c r="I15" s="2508" t="s">
        <v>1743</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3" t="s">
        <v>1885</v>
      </c>
      <c r="B16" s="784" t="s">
        <v>650</v>
      </c>
      <c r="C16" s="53">
        <f ca="1">ROUND(INDIRECT("'数据-取费表'!m"&amp;$G$1)*F16,0)</f>
        <v>0</v>
      </c>
      <c r="D16" s="784" t="s">
        <v>1745</v>
      </c>
      <c r="E16" s="784" t="s">
        <v>1746</v>
      </c>
      <c r="F16" s="809">
        <f ca="1">IF(INDIRECT("'数据-取费表'!c"&amp;$G$1)="住宅",'数据-取费表'!B34,0)</f>
        <v>0</v>
      </c>
      <c r="G16" s="1578"/>
      <c r="H16" s="1812" t="s">
        <v>1747</v>
      </c>
      <c r="I16" s="1810" t="s">
        <v>1748</v>
      </c>
      <c r="J16" s="792">
        <f ca="1">ROUND(J17+J22+J23+J24,0)</f>
        <v>900</v>
      </c>
      <c r="K16" s="1804" t="s">
        <v>1749</v>
      </c>
      <c r="L16" s="2448"/>
      <c r="M16" s="2453"/>
    </row>
    <row r="17" spans="1:33" s="2047" customFormat="1" ht="18" customHeight="1">
      <c r="A17" s="1633" t="s">
        <v>1886</v>
      </c>
      <c r="B17" s="784" t="s">
        <v>653</v>
      </c>
      <c r="C17" s="53">
        <f ca="1">ROUND(F17*(F43+INDIRECT("'数据-取费表'!S"&amp;$G$1))/10000,0)</f>
        <v>660</v>
      </c>
      <c r="D17" s="784" t="s">
        <v>1750</v>
      </c>
      <c r="E17" s="784" t="s">
        <v>1751</v>
      </c>
      <c r="F17" s="56">
        <f>'数据-取费表'!B35</f>
        <v>200</v>
      </c>
      <c r="G17" s="1579"/>
      <c r="H17" s="1634" t="s">
        <v>1829</v>
      </c>
      <c r="I17" s="784" t="s">
        <v>656</v>
      </c>
      <c r="J17" s="53">
        <f ca="1">ROUND(IF(项目基本情况!B11="自然人",J6*M17/(1+'数据-取费表'!C42),J18+J19+J20),0)</f>
        <v>764</v>
      </c>
      <c r="K17" s="2447" t="s">
        <v>1752</v>
      </c>
      <c r="L17" s="2446" t="s">
        <v>1753</v>
      </c>
      <c r="M17" s="810"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3" t="s">
        <v>1887</v>
      </c>
      <c r="B18" s="784" t="s">
        <v>659</v>
      </c>
      <c r="C18" s="53">
        <f ca="1">ROUND(C14*F18,0)</f>
        <v>89</v>
      </c>
      <c r="D18" s="784" t="s">
        <v>1745</v>
      </c>
      <c r="E18" s="784" t="s">
        <v>1746</v>
      </c>
      <c r="F18" s="809">
        <f>'数据-取费表'!B36</f>
        <v>1.4999999999999999E-2</v>
      </c>
      <c r="G18" s="1579"/>
      <c r="H18" s="1633" t="s">
        <v>1883</v>
      </c>
      <c r="I18" s="784" t="s">
        <v>1754</v>
      </c>
      <c r="J18" s="53">
        <f ca="1">ROUND(J6*M18/(1+'数据-取费表'!C42),1)</f>
        <v>0</v>
      </c>
      <c r="K18" s="2446" t="s">
        <v>1755</v>
      </c>
      <c r="L18" s="784" t="s">
        <v>1746</v>
      </c>
      <c r="M18" s="809">
        <f>'数据-取费表'!B41</f>
        <v>5.5000000000000007E-2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4" t="s">
        <v>1829</v>
      </c>
      <c r="B19" s="784" t="s">
        <v>662</v>
      </c>
      <c r="C19" s="53">
        <f ca="1">SUM(C14:C18)</f>
        <v>6866</v>
      </c>
      <c r="D19" s="261" t="s">
        <v>1756</v>
      </c>
      <c r="E19" s="1965"/>
      <c r="F19" s="56"/>
      <c r="G19" s="1578"/>
      <c r="H19" s="1633" t="s">
        <v>1884</v>
      </c>
      <c r="I19" s="784" t="s">
        <v>1757</v>
      </c>
      <c r="J19" s="53">
        <f ca="1">IF(K19="按租金收入计税",ROUND(J6*M19/(1+'数据-取费表'!C42),1),ROUND(C29*F33*0.7,1))</f>
        <v>762.7</v>
      </c>
      <c r="K19" s="811" t="s">
        <v>665</v>
      </c>
      <c r="L19" s="784" t="s">
        <v>1746</v>
      </c>
      <c r="M19" s="809">
        <f>IF(K19="按租金收入计税",'数据-取费表'!B51,'数据-取费表'!B50)</f>
        <v>1.2E-2</v>
      </c>
    </row>
    <row r="20" spans="1:33" s="2047" customFormat="1" ht="18" customHeight="1">
      <c r="A20" s="1634" t="s">
        <v>1888</v>
      </c>
      <c r="B20" s="784" t="s">
        <v>666</v>
      </c>
      <c r="C20" s="53">
        <f ca="1">ROUND(C19*F20,0)</f>
        <v>137</v>
      </c>
      <c r="D20" s="812" t="s">
        <v>1758</v>
      </c>
      <c r="E20" s="784" t="s">
        <v>1746</v>
      </c>
      <c r="F20" s="809">
        <f>'数据-取费表'!B37</f>
        <v>0.02</v>
      </c>
      <c r="G20" s="1579"/>
      <c r="H20" s="1636" t="s">
        <v>1879</v>
      </c>
      <c r="I20" s="341" t="s">
        <v>1759</v>
      </c>
      <c r="J20" s="54">
        <f ca="1">ROUND(M20*M21/10000,0)</f>
        <v>1</v>
      </c>
      <c r="K20" s="814" t="s">
        <v>1760</v>
      </c>
      <c r="L20" s="784" t="s">
        <v>1761</v>
      </c>
      <c r="M20" s="640">
        <f>'数据-取费表'!B52</f>
        <v>3</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4" t="s">
        <v>1889</v>
      </c>
      <c r="B21" s="784" t="s">
        <v>1762</v>
      </c>
      <c r="C21" s="53" t="s">
        <v>1763</v>
      </c>
      <c r="D21" s="812" t="s">
        <v>2295</v>
      </c>
      <c r="E21" s="784" t="s">
        <v>1764</v>
      </c>
      <c r="F21" s="809">
        <f>'数据-取费表'!B38</f>
        <v>0.02</v>
      </c>
      <c r="G21" s="1579"/>
      <c r="H21" s="2468"/>
      <c r="I21" s="793"/>
      <c r="J21" s="69"/>
      <c r="K21" s="816"/>
      <c r="L21" s="784" t="s">
        <v>1765</v>
      </c>
      <c r="M21" s="785">
        <f ca="1">INDIRECT("'数据-取费表'!r"&amp;$G$1)</f>
        <v>4386.9900000000007</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4" t="s">
        <v>1890</v>
      </c>
      <c r="B22" s="784" t="s">
        <v>1766</v>
      </c>
      <c r="C22" s="53"/>
      <c r="D22" s="2534" t="str">
        <f>IF(F23&lt;=1,"单利计息。","复利计息。")&amp;"建造成本、管理费用、销售费用产生的利息。"</f>
        <v>复利计息。建造成本、管理费用、销售费用产生的利息。</v>
      </c>
      <c r="E22" s="1965"/>
      <c r="F22" s="56"/>
      <c r="G22" s="1578"/>
      <c r="H22" s="1634" t="s">
        <v>1888</v>
      </c>
      <c r="I22" s="784" t="s">
        <v>1767</v>
      </c>
      <c r="J22" s="53">
        <f ca="1">ROUND(J14*M22,0)</f>
        <v>136</v>
      </c>
      <c r="K22" s="2446" t="s">
        <v>1768</v>
      </c>
      <c r="L22" s="784" t="s">
        <v>1746</v>
      </c>
      <c r="M22" s="817">
        <f ca="1">INDIRECT("'数据-取费表'!Ak"&amp;$G$1)</f>
        <v>1.4999999999999999E-2</v>
      </c>
    </row>
    <row r="23" spans="1:33" s="2047" customFormat="1" ht="18" customHeight="1">
      <c r="A23" s="1633" t="s">
        <v>1830</v>
      </c>
      <c r="B23" s="784" t="s">
        <v>2532</v>
      </c>
      <c r="C23" s="53">
        <f ca="1">ROUND(IF('数据-取费表'!B22&lt;=1,(C19+C20)*F24*F23/2,(C19+C20)*(POWER((1+F24),F23/2)-1)),0)</f>
        <v>333</v>
      </c>
      <c r="D23" s="2533" t="str">
        <f>IF(F23&lt;=1,"(建造成本+管理费用)×利率×(建设周期÷2)","(建造成本+管理费用)×((1+利率)^(建设周期÷2)-1)")</f>
        <v>(建造成本+管理费用)×((1+利率)^(建设周期÷2)-1)</v>
      </c>
      <c r="E23" s="784" t="s">
        <v>1769</v>
      </c>
      <c r="F23" s="640">
        <f>'数据-取费表'!B20</f>
        <v>2</v>
      </c>
      <c r="G23" s="1579"/>
      <c r="H23" s="1634" t="s">
        <v>1889</v>
      </c>
      <c r="I23" s="784" t="s">
        <v>679</v>
      </c>
      <c r="J23" s="53">
        <f ca="1">ROUND(J13*M23,0)</f>
        <v>0</v>
      </c>
      <c r="K23" s="2446" t="s">
        <v>1770</v>
      </c>
      <c r="L23" s="784" t="s">
        <v>1746</v>
      </c>
      <c r="M23" s="818">
        <f ca="1">INDIRECT("'数据-取费表'!Al"&amp;$G$1)</f>
        <v>1.5E-3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3" t="s">
        <v>1831</v>
      </c>
      <c r="B24" s="784" t="s">
        <v>1771</v>
      </c>
      <c r="C24" s="53">
        <f ca="1">ROUND(IF('数据-取费表'!B22&lt;=1,F21*F24*F23/2,F21*(POWER((1+F24),F23/2)-1)),4)</f>
        <v>1E-3</v>
      </c>
      <c r="D24" s="2533" t="str">
        <f>IF(F23&lt;=1,"销售费用×利率×(建设周期÷2)","销售费用×((1+利率)^(建设周期÷2)-1)")</f>
        <v>销售费用×((1+利率)^(建设周期÷2)-1)</v>
      </c>
      <c r="E24" s="784" t="s">
        <v>1772</v>
      </c>
      <c r="F24" s="819">
        <f ca="1">'数据-取费表'!B40</f>
        <v>4.7500000000000001E-2</v>
      </c>
      <c r="G24" s="1579"/>
      <c r="H24" s="2513" t="s">
        <v>1890</v>
      </c>
      <c r="I24" s="2508" t="s">
        <v>666</v>
      </c>
      <c r="J24" s="2506">
        <f ca="1">ROUND(J5*M24,0)</f>
        <v>0</v>
      </c>
      <c r="K24" s="2507" t="s">
        <v>1773</v>
      </c>
      <c r="L24" s="2508" t="s">
        <v>1746</v>
      </c>
      <c r="M24" s="2504">
        <f ca="1">INDIRECT("'数据-取费表'!Am"&amp;$G$1)</f>
        <v>0.01</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5" t="s">
        <v>1839</v>
      </c>
      <c r="B25" s="784" t="s">
        <v>684</v>
      </c>
      <c r="C25" s="53"/>
      <c r="D25" s="261" t="s">
        <v>1774</v>
      </c>
      <c r="E25" s="1965"/>
      <c r="F25" s="56"/>
      <c r="G25" s="1578"/>
      <c r="H25" s="1812" t="s">
        <v>1775</v>
      </c>
      <c r="I25" s="2960" t="s">
        <v>2818</v>
      </c>
      <c r="J25" s="792">
        <f ca="1">J5-J16</f>
        <v>-900</v>
      </c>
      <c r="K25" s="2510" t="s">
        <v>1776</v>
      </c>
      <c r="L25" s="2511"/>
      <c r="M25" s="2512"/>
    </row>
    <row r="26" spans="1:33" ht="18" customHeight="1">
      <c r="A26" s="1633" t="s">
        <v>1830</v>
      </c>
      <c r="B26" s="784" t="s">
        <v>2435</v>
      </c>
      <c r="C26" s="53">
        <f ca="1">ROUND((C19+C20)*F26,0)</f>
        <v>1050</v>
      </c>
      <c r="D26" s="812" t="s">
        <v>1777</v>
      </c>
      <c r="E26" s="795" t="s">
        <v>1778</v>
      </c>
      <c r="F26" s="794">
        <f ca="1">INDIRECT("'数据-取费表'!q"&amp;$G$1)</f>
        <v>0.15</v>
      </c>
      <c r="G26" s="1578"/>
      <c r="H26" s="2464" t="s">
        <v>1779</v>
      </c>
      <c r="I26" s="2215" t="s">
        <v>2823</v>
      </c>
      <c r="J26" s="783">
        <f ca="1">IF(J5&lt;&gt;0,ROUND(J25*(1-((1+M28)/(1+M26))^M27)/(M26-M28),0),0)</f>
        <v>0</v>
      </c>
      <c r="K26" s="814" t="s">
        <v>1780</v>
      </c>
      <c r="L26" s="784" t="s">
        <v>2416</v>
      </c>
      <c r="M26" s="794">
        <f ca="1">INDIRECT("'数据-取费表'!I"&amp;$G$1)</f>
        <v>5.5E-2</v>
      </c>
    </row>
    <row r="27" spans="1:33" ht="18" customHeight="1">
      <c r="A27" s="1633" t="s">
        <v>1831</v>
      </c>
      <c r="B27" s="784" t="s">
        <v>686</v>
      </c>
      <c r="C27" s="53">
        <f ca="1">ROUND(F21*F26,4)</f>
        <v>3.0000000000000001E-3</v>
      </c>
      <c r="D27" s="812" t="s">
        <v>1781</v>
      </c>
      <c r="E27" s="806"/>
      <c r="F27" s="807"/>
      <c r="G27" s="1578"/>
      <c r="H27" s="2465"/>
      <c r="I27" s="787"/>
      <c r="J27" s="788"/>
      <c r="K27" s="821" t="s">
        <v>1782</v>
      </c>
      <c r="L27" s="784" t="s">
        <v>1783</v>
      </c>
      <c r="M27" s="822">
        <f ca="1">INDIRECT("'数据-取费表'!ag"&amp;$G$1)</f>
        <v>0</v>
      </c>
    </row>
    <row r="28" spans="1:33" s="2047" customFormat="1" ht="18" customHeight="1">
      <c r="A28" s="1635" t="s">
        <v>1840</v>
      </c>
      <c r="B28" s="784" t="s">
        <v>687</v>
      </c>
      <c r="C28" s="53">
        <f>ROUND(F28/(1+'数据-取费表'!C42),4)</f>
        <v>5.2400000000000002E-2</v>
      </c>
      <c r="D28" s="812" t="s">
        <v>2296</v>
      </c>
      <c r="E28" s="784" t="s">
        <v>1784</v>
      </c>
      <c r="F28" s="809">
        <f>'数据-取费表'!B41</f>
        <v>5.5000000000000007E-2</v>
      </c>
      <c r="G28" s="1579"/>
      <c r="H28" s="1812"/>
      <c r="I28" s="791"/>
      <c r="J28" s="792"/>
      <c r="K28" s="816"/>
      <c r="L28" s="784" t="s">
        <v>1785</v>
      </c>
      <c r="M28" s="794">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1891</v>
      </c>
      <c r="B29" s="2503" t="s">
        <v>2297</v>
      </c>
      <c r="C29" s="2506">
        <f ca="1">ROUND((C19+C20+C23+C26)/(1-F21-C24-C27-C28),0)</f>
        <v>9080</v>
      </c>
      <c r="D29" s="2507"/>
      <c r="E29" s="2508"/>
      <c r="F29" s="2509"/>
      <c r="G29" s="1579"/>
      <c r="H29" s="823" t="s">
        <v>1786</v>
      </c>
      <c r="I29" s="824" t="s">
        <v>1787</v>
      </c>
      <c r="J29" s="825">
        <f ca="1">ROUND(J26/(1+F40)^F41,0)</f>
        <v>0</v>
      </c>
      <c r="K29" s="826" t="s">
        <v>1788</v>
      </c>
      <c r="L29" s="827"/>
      <c r="M29" s="828">
        <f ca="1">INDIRECT("'数据-取费表'!k"&amp;$G$1)</f>
        <v>32157.53</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1892</v>
      </c>
      <c r="B30" s="1810" t="s">
        <v>1789</v>
      </c>
      <c r="C30" s="792">
        <f ca="1">ROUND(C31+C36+C37+C38,0)</f>
        <v>440</v>
      </c>
      <c r="D30" s="1804" t="s">
        <v>1790</v>
      </c>
      <c r="E30" s="2448"/>
      <c r="F30" s="2453"/>
      <c r="G30" s="2045"/>
      <c r="H30" s="2048"/>
      <c r="I30" s="2049"/>
      <c r="J30" s="2050"/>
      <c r="K30" s="2051"/>
      <c r="L30" s="2052"/>
      <c r="M30" s="2053"/>
    </row>
    <row r="31" spans="1:33" ht="18" customHeight="1">
      <c r="A31" s="1634" t="s">
        <v>1829</v>
      </c>
      <c r="B31" s="784" t="s">
        <v>656</v>
      </c>
      <c r="C31" s="53">
        <f ca="1">ROUND(IF(项目基本情况!B11="自然人",C6*F31/(1+'数据-取费表'!C42),C32+C33+C34),1)</f>
        <v>274</v>
      </c>
      <c r="D31" s="1962" t="s">
        <v>1791</v>
      </c>
      <c r="E31" s="1960" t="s">
        <v>1792</v>
      </c>
      <c r="F31" s="810" t="str">
        <f ca="1">IF(项目基本情况!B11="企业","",IF(INDIRECT("'数据-取费表'!c"&amp;$G$1)="住宅",5%,IF(F6*F7*F8/12/(1+'数据-取费表'!C42)&gt;20000,12%,7%)))</f>
        <v/>
      </c>
      <c r="G31" s="2045"/>
      <c r="H31" s="2048"/>
      <c r="I31" s="2049"/>
      <c r="J31" s="2050"/>
      <c r="K31" s="2051"/>
      <c r="L31" s="2052"/>
      <c r="M31" s="2053"/>
    </row>
    <row r="32" spans="1:33" ht="18" customHeight="1">
      <c r="A32" s="1633" t="s">
        <v>1830</v>
      </c>
      <c r="B32" s="784" t="s">
        <v>1793</v>
      </c>
      <c r="C32" s="53">
        <f ca="1">ROUND(C6*F32/(1+'数据-取费表'!C42),1)</f>
        <v>85.7</v>
      </c>
      <c r="D32" s="1960" t="s">
        <v>1794</v>
      </c>
      <c r="E32" s="784" t="s">
        <v>1795</v>
      </c>
      <c r="F32" s="809">
        <f>'数据-取费表'!B41</f>
        <v>5.5000000000000007E-2</v>
      </c>
      <c r="G32" s="2045"/>
      <c r="H32" s="2054"/>
      <c r="I32" s="2055"/>
      <c r="J32" s="2056"/>
      <c r="K32" s="2057"/>
      <c r="L32" s="2058"/>
      <c r="M32" s="2059"/>
    </row>
    <row r="33" spans="1:18" ht="18" customHeight="1">
      <c r="A33" s="1633" t="s">
        <v>1831</v>
      </c>
      <c r="B33" s="784" t="s">
        <v>1796</v>
      </c>
      <c r="C33" s="53">
        <f ca="1">IF(D33="按租金收入计税",ROUND(C6*F33/(1+'数据-取费表'!C42),1),IF(D33="按房产原值计税",ROUND(C29*F33*0.7,1),INDIRECT("'数据-取费表'!Aj"&amp;$G$1)))</f>
        <v>187</v>
      </c>
      <c r="D33" s="811" t="s">
        <v>3186</v>
      </c>
      <c r="E33" s="784" t="s">
        <v>1795</v>
      </c>
      <c r="F33" s="809">
        <f>IF(D33="按租金收入计税",'数据-取费表'!B51,'数据-取费表'!B50)</f>
        <v>0.12</v>
      </c>
      <c r="G33" s="2045"/>
      <c r="H33" s="2060"/>
      <c r="I33" s="2060"/>
      <c r="J33" s="2060"/>
      <c r="K33" s="2061"/>
      <c r="L33" s="2060"/>
      <c r="M33" s="2060"/>
    </row>
    <row r="34" spans="1:18" ht="18" customHeight="1">
      <c r="A34" s="1636" t="s">
        <v>1832</v>
      </c>
      <c r="B34" s="341" t="s">
        <v>1797</v>
      </c>
      <c r="C34" s="54">
        <f ca="1">ROUND(F34*F35/10000,1)</f>
        <v>1.3</v>
      </c>
      <c r="D34" s="814" t="s">
        <v>1798</v>
      </c>
      <c r="E34" s="784" t="s">
        <v>1799</v>
      </c>
      <c r="F34" s="640">
        <f>'数据-取费表'!B52</f>
        <v>3</v>
      </c>
      <c r="G34" s="2045"/>
      <c r="H34" s="2048"/>
      <c r="I34" s="835" t="s">
        <v>1812</v>
      </c>
      <c r="J34" s="836"/>
      <c r="K34" s="2063"/>
      <c r="L34" s="2062"/>
      <c r="M34" s="2062"/>
    </row>
    <row r="35" spans="1:18" ht="18" customHeight="1">
      <c r="A35" s="815"/>
      <c r="B35" s="793"/>
      <c r="C35" s="69"/>
      <c r="D35" s="816"/>
      <c r="E35" s="784" t="s">
        <v>1800</v>
      </c>
      <c r="F35" s="785">
        <f ca="1">INDIRECT("'数据-取费表'!r"&amp;$G$1)</f>
        <v>4386.9900000000007</v>
      </c>
      <c r="G35" s="2045"/>
      <c r="H35" s="2048"/>
      <c r="I35" s="837" t="s">
        <v>1813</v>
      </c>
      <c r="J35" s="838">
        <f ca="1">ROUND(C13*J36,0)</f>
        <v>726</v>
      </c>
      <c r="K35" s="2061"/>
      <c r="L35" s="2060"/>
      <c r="M35" s="2060"/>
    </row>
    <row r="36" spans="1:18" ht="18" customHeight="1">
      <c r="A36" s="1634" t="s">
        <v>1888</v>
      </c>
      <c r="B36" s="784" t="s">
        <v>1801</v>
      </c>
      <c r="C36" s="53">
        <f ca="1">ROUND(C29*F36,1)</f>
        <v>136.19999999999999</v>
      </c>
      <c r="D36" s="1960" t="s">
        <v>1802</v>
      </c>
      <c r="E36" s="784" t="s">
        <v>1795</v>
      </c>
      <c r="F36" s="817">
        <f ca="1">INDIRECT("'数据-取费表'!Ak"&amp;$G$1)</f>
        <v>1.4999999999999999E-2</v>
      </c>
      <c r="G36" s="2045"/>
      <c r="H36" s="2060"/>
      <c r="I36" s="839" t="s">
        <v>1814</v>
      </c>
      <c r="J36" s="840">
        <f ca="1">INDIRECT("'数据-取费表'!j"&amp;$G$1)</f>
        <v>0.08</v>
      </c>
      <c r="K36" s="2065"/>
      <c r="L36" s="2060"/>
      <c r="M36" s="2060"/>
    </row>
    <row r="37" spans="1:18" ht="18" customHeight="1">
      <c r="A37" s="1634" t="s">
        <v>1889</v>
      </c>
      <c r="B37" s="784" t="s">
        <v>679</v>
      </c>
      <c r="C37" s="53">
        <f ca="1">ROUND(C13*F37,1)</f>
        <v>13.6</v>
      </c>
      <c r="D37" s="1960" t="s">
        <v>1803</v>
      </c>
      <c r="E37" s="784" t="s">
        <v>1795</v>
      </c>
      <c r="F37" s="818">
        <f ca="1">INDIRECT("'数据-取费表'!Al"&amp;$G$1)</f>
        <v>1.5E-3</v>
      </c>
      <c r="G37" s="2045"/>
      <c r="H37" s="2060"/>
      <c r="I37" s="841" t="s">
        <v>1815</v>
      </c>
      <c r="J37" s="842"/>
      <c r="K37" s="2065"/>
      <c r="L37" s="2060"/>
      <c r="M37" s="2060"/>
    </row>
    <row r="38" spans="1:18" ht="18" customHeight="1" thickBot="1">
      <c r="A38" s="2513" t="s">
        <v>1890</v>
      </c>
      <c r="B38" s="2508" t="s">
        <v>666</v>
      </c>
      <c r="C38" s="2506">
        <f ca="1">ROUND(C5*F38,1)</f>
        <v>16.399999999999999</v>
      </c>
      <c r="D38" s="2507" t="s">
        <v>1804</v>
      </c>
      <c r="E38" s="2508" t="s">
        <v>1795</v>
      </c>
      <c r="F38" s="2504">
        <f ca="1">INDIRECT("'数据-取费表'!Am"&amp;$G$1)</f>
        <v>0.01</v>
      </c>
      <c r="G38" s="2045"/>
      <c r="H38" s="2060"/>
      <c r="I38" s="843" t="s">
        <v>1816</v>
      </c>
      <c r="J38" s="844"/>
      <c r="K38" s="2066"/>
      <c r="L38" s="2060"/>
      <c r="M38" s="2060"/>
    </row>
    <row r="39" spans="1:18" ht="24.6" customHeight="1" thickTop="1">
      <c r="A39" s="1812" t="s">
        <v>1893</v>
      </c>
      <c r="B39" s="2960" t="s">
        <v>2818</v>
      </c>
      <c r="C39" s="792">
        <f ca="1">C5-C30</f>
        <v>1198</v>
      </c>
      <c r="D39" s="2510" t="s">
        <v>1805</v>
      </c>
      <c r="E39" s="2511"/>
      <c r="F39" s="2512"/>
      <c r="G39" s="2045"/>
      <c r="H39" s="2060"/>
      <c r="I39" s="837" t="s">
        <v>1817</v>
      </c>
      <c r="J39" s="845">
        <f ca="1">ROUND(J35/C39,3)</f>
        <v>0.60599999999999998</v>
      </c>
      <c r="K39" s="2066"/>
      <c r="L39" s="2060"/>
      <c r="M39" s="2060"/>
    </row>
    <row r="40" spans="1:18" ht="18" customHeight="1">
      <c r="A40" s="781" t="s">
        <v>1894</v>
      </c>
      <c r="B40" s="2215" t="s">
        <v>2298</v>
      </c>
      <c r="C40" s="783">
        <f ca="1">ROUND(C39*(1-((1+F42)/(1+F40))^F41)/(F40-F42),0)</f>
        <v>22514</v>
      </c>
      <c r="D40" s="814" t="s">
        <v>1806</v>
      </c>
      <c r="E40" s="784" t="s">
        <v>2416</v>
      </c>
      <c r="F40" s="794">
        <f ca="1">INDIRECT("'数据-取费表'!I"&amp;$G$1)</f>
        <v>5.5E-2</v>
      </c>
      <c r="G40" s="2045"/>
      <c r="H40" s="2045"/>
      <c r="I40" s="837" t="s">
        <v>1818</v>
      </c>
      <c r="J40" s="845">
        <f ca="1">1-J39</f>
        <v>0.39400000000000002</v>
      </c>
      <c r="K40" s="2066"/>
      <c r="L40" s="2045"/>
      <c r="M40" s="2045"/>
    </row>
    <row r="41" spans="1:18" ht="18" customHeight="1">
      <c r="A41" s="786"/>
      <c r="B41" s="787"/>
      <c r="C41" s="788"/>
      <c r="D41" s="821" t="s">
        <v>1807</v>
      </c>
      <c r="E41" s="784" t="s">
        <v>2957</v>
      </c>
      <c r="F41" s="822">
        <f ca="1">IF(INDIRECT("'数据-取费表'!af"&amp;$G$1)=0,INDIRECT("'数据-取费表'!ae"&amp;$G$1),INDIRECT("'数据-取费表'!af"&amp;$G$1))</f>
        <v>31.78</v>
      </c>
      <c r="G41" s="2045"/>
      <c r="H41" s="1971"/>
      <c r="I41" s="843" t="s">
        <v>1819</v>
      </c>
      <c r="J41" s="846"/>
      <c r="K41" s="2065"/>
      <c r="L41" s="1971"/>
      <c r="M41" s="1971"/>
    </row>
    <row r="42" spans="1:18" ht="18" customHeight="1">
      <c r="A42" s="790"/>
      <c r="B42" s="791"/>
      <c r="C42" s="792"/>
      <c r="D42" s="816"/>
      <c r="E42" s="784" t="s">
        <v>1808</v>
      </c>
      <c r="F42" s="794">
        <f ca="1">INDIRECT("'数据-取费表'!v"&amp;$G$1)</f>
        <v>0.02</v>
      </c>
      <c r="G42" s="2045"/>
      <c r="H42" s="1971"/>
      <c r="I42" s="847" t="s">
        <v>1820</v>
      </c>
      <c r="J42" s="845">
        <f ca="1">ROUND(C13/C40,3)</f>
        <v>0.40300000000000002</v>
      </c>
      <c r="K42" s="2065"/>
      <c r="L42" s="1971"/>
      <c r="M42" s="1971"/>
    </row>
    <row r="43" spans="1:18" ht="18" customHeight="1" thickBot="1">
      <c r="A43" s="823" t="s">
        <v>1786</v>
      </c>
      <c r="B43" s="824" t="s">
        <v>1809</v>
      </c>
      <c r="C43" s="825">
        <f ca="1">ROUND(C40*10000/F43,0)</f>
        <v>7001</v>
      </c>
      <c r="D43" s="826" t="s">
        <v>1810</v>
      </c>
      <c r="E43" s="827" t="s">
        <v>1811</v>
      </c>
      <c r="F43" s="828">
        <f ca="1">INDIRECT("'数据-取费表'!k"&amp;$G$1)</f>
        <v>32157.53</v>
      </c>
      <c r="G43" s="2045"/>
      <c r="H43" s="1971"/>
      <c r="I43" s="847" t="s">
        <v>1821</v>
      </c>
      <c r="J43" s="848">
        <f ca="1">1-J42</f>
        <v>0.59699999999999998</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2292</v>
      </c>
      <c r="B46" s="2068"/>
      <c r="C46" s="2536">
        <f ca="1">C67-C40</f>
        <v>-24759</v>
      </c>
      <c r="D46" s="2068"/>
      <c r="E46" s="2068"/>
      <c r="F46" s="2068"/>
      <c r="I46" s="2340" t="s">
        <v>2340</v>
      </c>
      <c r="J46" s="2341"/>
      <c r="K46" s="2342"/>
      <c r="L46" s="3103">
        <f>IF(OR(M47="住宅",D1="土地（套用方法）"),0,IF(L48&gt;J51,L60,J60))</f>
        <v>0</v>
      </c>
      <c r="O46" s="2356" t="s">
        <v>2407</v>
      </c>
      <c r="P46" s="1578"/>
      <c r="Q46" s="1589"/>
      <c r="R46" s="1578"/>
    </row>
    <row r="47" spans="1:18" s="2042" customFormat="1" ht="18" customHeight="1" thickBot="1">
      <c r="A47" s="2334">
        <v>1</v>
      </c>
      <c r="B47" s="2335" t="s">
        <v>635</v>
      </c>
      <c r="C47" s="2536">
        <f ca="1">C48+C52+C54</f>
        <v>0</v>
      </c>
      <c r="D47" s="2068"/>
      <c r="E47" s="2068"/>
      <c r="F47" s="2068"/>
      <c r="I47" s="3094" t="s">
        <v>2341</v>
      </c>
      <c r="J47" s="2343" t="s">
        <v>3187</v>
      </c>
      <c r="K47" s="3100" t="s">
        <v>2346</v>
      </c>
      <c r="L47" s="3104">
        <f ca="1">INDIRECT("'数据-取费表'!d"&amp;$G$1)</f>
        <v>40</v>
      </c>
      <c r="M47" s="1589" t="str">
        <f>IF(ISNUMBER(FIND("住宅",C1)),"住宅","非住宅")</f>
        <v>非住宅</v>
      </c>
      <c r="O47" s="2357" t="s">
        <v>2372</v>
      </c>
      <c r="P47" s="2358" t="s">
        <v>2373</v>
      </c>
      <c r="Q47" s="2359" t="s">
        <v>2374</v>
      </c>
      <c r="R47" s="2358" t="s">
        <v>2375</v>
      </c>
    </row>
    <row r="48" spans="1:18" s="2042" customFormat="1" ht="18" customHeight="1" thickBot="1">
      <c r="A48" s="2604" t="s">
        <v>2534</v>
      </c>
      <c r="B48" s="2605" t="s">
        <v>2535</v>
      </c>
      <c r="C48" s="2336">
        <f ca="1">ROUND(F48*F50*F49*(1-F51)/10000,0)</f>
        <v>0</v>
      </c>
      <c r="D48" s="2337" t="s">
        <v>636</v>
      </c>
      <c r="E48" s="2338" t="s">
        <v>2293</v>
      </c>
      <c r="F48" s="2339"/>
      <c r="G48" s="2073"/>
      <c r="I48" s="3073" t="s">
        <v>2342</v>
      </c>
      <c r="J48" s="2344" t="s">
        <v>2347</v>
      </c>
      <c r="K48" s="3101" t="s">
        <v>2348</v>
      </c>
      <c r="L48" s="1891">
        <f ca="1">INDIRECT("'数据-取费表'!f"&amp;$G$1)</f>
        <v>33.78</v>
      </c>
      <c r="O48" s="2360" t="s">
        <v>2376</v>
      </c>
      <c r="P48" s="2361" t="s">
        <v>2402</v>
      </c>
      <c r="Q48" s="2362">
        <f ca="1">C40+J29</f>
        <v>22514</v>
      </c>
      <c r="R48" s="2361" t="s">
        <v>2377</v>
      </c>
    </row>
    <row r="49" spans="1:18" s="2042" customFormat="1" ht="18" customHeight="1" thickBot="1">
      <c r="A49" s="786"/>
      <c r="B49" s="787"/>
      <c r="C49" s="788"/>
      <c r="D49" s="789"/>
      <c r="E49" s="784" t="s">
        <v>1738</v>
      </c>
      <c r="F49" s="785">
        <f ca="1">F7</f>
        <v>32157.53</v>
      </c>
      <c r="G49" s="2073"/>
      <c r="H49" s="2076"/>
      <c r="I49" s="3073" t="s">
        <v>2343</v>
      </c>
      <c r="J49" s="2345">
        <v>2020</v>
      </c>
      <c r="K49" s="3102" t="s">
        <v>2349</v>
      </c>
      <c r="L49" s="2346"/>
      <c r="O49" s="2360" t="s">
        <v>2378</v>
      </c>
      <c r="P49" s="2361" t="s">
        <v>2403</v>
      </c>
      <c r="Q49" s="2362" t="str">
        <f ca="1">J60</f>
        <v>0</v>
      </c>
      <c r="R49" s="2361" t="s">
        <v>2379</v>
      </c>
    </row>
    <row r="50" spans="1:18" s="2042" customFormat="1" ht="18" customHeight="1" thickBot="1">
      <c r="A50" s="786"/>
      <c r="B50" s="787"/>
      <c r="C50" s="788"/>
      <c r="D50" s="789"/>
      <c r="E50" s="784" t="s">
        <v>1739</v>
      </c>
      <c r="F50" s="785">
        <f ca="1">F8</f>
        <v>365</v>
      </c>
      <c r="G50" s="2078"/>
      <c r="H50" s="2076"/>
      <c r="I50" s="3073" t="s">
        <v>2344</v>
      </c>
      <c r="J50" s="3098">
        <f>SUMPRODUCT((I63:I65=J47)*(J62:L62=J48)*(J63:L65))</f>
        <v>60</v>
      </c>
      <c r="K50" s="3102" t="s">
        <v>2350</v>
      </c>
      <c r="L50" s="2346"/>
      <c r="O50" s="2363" t="s">
        <v>2380</v>
      </c>
      <c r="P50" s="2361" t="s">
        <v>2404</v>
      </c>
      <c r="Q50" s="2362">
        <f ca="1">C29</f>
        <v>9080</v>
      </c>
      <c r="R50" s="2361" t="s">
        <v>2377</v>
      </c>
    </row>
    <row r="51" spans="1:18" s="2042" customFormat="1" ht="18" customHeight="1" thickBot="1">
      <c r="A51" s="786"/>
      <c r="B51" s="787"/>
      <c r="C51" s="788"/>
      <c r="D51" s="789"/>
      <c r="E51" s="784" t="s">
        <v>640</v>
      </c>
      <c r="F51" s="2333"/>
      <c r="H51" s="2076"/>
      <c r="I51" s="3095" t="s">
        <v>2345</v>
      </c>
      <c r="J51" s="3099">
        <f>IF(J49="",J50,J49+J50-YEAR('数据-取费表'!B2))</f>
        <v>60</v>
      </c>
      <c r="K51" s="3073" t="s">
        <v>2351</v>
      </c>
      <c r="L51" s="3105">
        <f ca="1">ROUND(-PV(INDIRECT("'数据-取费表'!h"&amp;$G$1),L48,(C39-C13*J36),0),0)</f>
        <v>7617</v>
      </c>
      <c r="O51" s="2363" t="s">
        <v>2381</v>
      </c>
      <c r="P51" s="2361" t="s">
        <v>2382</v>
      </c>
      <c r="Q51" s="2364" t="e">
        <f ca="1">J58</f>
        <v>#VALUE!</v>
      </c>
      <c r="R51" s="2365"/>
    </row>
    <row r="52" spans="1:18" s="2042" customFormat="1" ht="18" customHeight="1" thickBot="1">
      <c r="A52" s="781" t="s">
        <v>2533</v>
      </c>
      <c r="B52" s="2456" t="s">
        <v>2456</v>
      </c>
      <c r="C52" s="799">
        <f ca="1">ROUND(IF(F52="押一",C48/12*F11,IF(F52="押二",C48/12*2*F11,IF(F52="押三",C48/12*3*F11,C53*F11))),0)</f>
        <v>0</v>
      </c>
      <c r="D52" s="2463" t="s">
        <v>2968</v>
      </c>
      <c r="E52" s="2460" t="s">
        <v>2461</v>
      </c>
      <c r="F52" s="2583"/>
      <c r="I52" s="3096" t="s">
        <v>2418</v>
      </c>
      <c r="J52" s="2347">
        <v>8.5000000000000006E-2</v>
      </c>
      <c r="K52" s="3096" t="s">
        <v>2417</v>
      </c>
      <c r="L52" s="2347"/>
      <c r="O52" s="2363" t="s">
        <v>2383</v>
      </c>
      <c r="P52" s="2361" t="s">
        <v>2384</v>
      </c>
      <c r="Q52" s="2364">
        <f>J52</f>
        <v>8.5000000000000006E-2</v>
      </c>
      <c r="R52" s="2365"/>
    </row>
    <row r="53" spans="1:18" s="2042" customFormat="1" ht="39.75" customHeight="1" thickBot="1">
      <c r="A53" s="786"/>
      <c r="B53" s="2457" t="s">
        <v>2570</v>
      </c>
      <c r="C53" s="2461"/>
      <c r="D53" s="2463"/>
      <c r="E53" s="2460"/>
      <c r="F53" s="800"/>
      <c r="I53" s="3097" t="s">
        <v>2971</v>
      </c>
      <c r="J53" s="3176">
        <f ca="1">IF(M47="住宅",IF(D1="——",MAX(J51,L48),MAX(J51,L48-'数据-取费表'!B20)),IF(D1="——",MIN(J51,L48),MIN(J51,L48-'数据-取费表'!B20)))</f>
        <v>31.78</v>
      </c>
      <c r="K53" s="3595" t="s">
        <v>2959</v>
      </c>
      <c r="L53" s="3596"/>
      <c r="O53" s="2363" t="s">
        <v>2385</v>
      </c>
      <c r="P53" s="2361" t="s">
        <v>2386</v>
      </c>
      <c r="Q53" s="2362">
        <f ca="1">J53</f>
        <v>31.78</v>
      </c>
      <c r="R53" s="2361" t="s">
        <v>2387</v>
      </c>
    </row>
    <row r="54" spans="1:18" s="2042" customFormat="1" ht="18" customHeight="1" thickBot="1">
      <c r="A54" s="2499" t="s">
        <v>2464</v>
      </c>
      <c r="B54" s="2500" t="s">
        <v>2457</v>
      </c>
      <c r="C54" s="2501"/>
      <c r="D54" s="2463"/>
      <c r="E54" s="2460"/>
      <c r="F54" s="800"/>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2388</v>
      </c>
      <c r="P54" s="2361" t="s">
        <v>2405</v>
      </c>
      <c r="Q54" s="2362">
        <f ca="1">Q48+Q49</f>
        <v>22514</v>
      </c>
      <c r="R54" s="2365" t="s">
        <v>2389</v>
      </c>
    </row>
    <row r="55" spans="1:18" s="2042" customFormat="1" ht="18" customHeight="1" thickTop="1" thickBot="1">
      <c r="A55" s="797">
        <v>2</v>
      </c>
      <c r="B55" s="798" t="s">
        <v>644</v>
      </c>
      <c r="C55" s="799">
        <f ca="1">C13</f>
        <v>9080</v>
      </c>
      <c r="D55" s="795"/>
      <c r="E55" s="795"/>
      <c r="F55" s="800"/>
      <c r="I55" s="3108" t="s">
        <v>2352</v>
      </c>
      <c r="J55" s="3048" t="e">
        <f ca="1">ROUND(IF(J47="钢混",J57/J50,1-(1-2%)*(J50-J57)/J50),3)</f>
        <v>#VALUE!</v>
      </c>
      <c r="K55" s="3109" t="s">
        <v>2353</v>
      </c>
      <c r="L55" s="2348"/>
      <c r="O55" s="2366" t="s">
        <v>2408</v>
      </c>
      <c r="P55" s="1578"/>
      <c r="Q55" s="1589"/>
      <c r="R55" s="1578"/>
    </row>
    <row r="56" spans="1:18" s="2042" customFormat="1" ht="42.75" customHeight="1" thickBot="1">
      <c r="A56" s="1635"/>
      <c r="B56" s="2214" t="s">
        <v>2299</v>
      </c>
      <c r="C56" s="53">
        <f ca="1">C29</f>
        <v>9080</v>
      </c>
      <c r="D56" s="2601"/>
      <c r="E56" s="784"/>
      <c r="F56" s="809"/>
      <c r="I56" s="3110" t="s">
        <v>2354</v>
      </c>
      <c r="J56" s="3120" t="s">
        <v>1678</v>
      </c>
      <c r="K56" s="3073" t="s">
        <v>2359</v>
      </c>
      <c r="L56" s="1891" t="str">
        <f ca="1">IF(L48&lt;J51,"——",L48-J51)</f>
        <v>——</v>
      </c>
      <c r="O56" s="2357" t="s">
        <v>2372</v>
      </c>
      <c r="P56" s="2358" t="s">
        <v>2373</v>
      </c>
      <c r="Q56" s="2359" t="s">
        <v>2374</v>
      </c>
      <c r="R56" s="2358" t="s">
        <v>2375</v>
      </c>
    </row>
    <row r="57" spans="1:18" s="2042" customFormat="1" ht="28.5" customHeight="1" thickBot="1">
      <c r="A57" s="797" t="s">
        <v>1747</v>
      </c>
      <c r="B57" s="798" t="s">
        <v>651</v>
      </c>
      <c r="C57" s="799">
        <f ca="1">ROUND(C58+C63+C64+C65,0)</f>
        <v>151</v>
      </c>
      <c r="D57" s="26" t="s">
        <v>1749</v>
      </c>
      <c r="E57" s="2602"/>
      <c r="F57" s="56"/>
      <c r="I57" s="3111" t="s">
        <v>2355</v>
      </c>
      <c r="J57" s="3112" t="str">
        <f ca="1">IF(OR(M47="住宅",J51&lt;L48,J56="是"),"——",J51-L48)</f>
        <v>——</v>
      </c>
      <c r="K57" s="3073" t="s">
        <v>2360</v>
      </c>
      <c r="L57" s="1891" t="str">
        <f ca="1">IF(L48&lt;J51,"——",IF(L55="比较法",L49,IF(L55="基准地价",L50,L51)))</f>
        <v>——</v>
      </c>
      <c r="O57" s="2360" t="s">
        <v>2376</v>
      </c>
      <c r="P57" s="2361" t="s">
        <v>2406</v>
      </c>
      <c r="Q57" s="2362">
        <f ca="1">C40+J29</f>
        <v>22514</v>
      </c>
      <c r="R57" s="2361" t="s">
        <v>2377</v>
      </c>
    </row>
    <row r="58" spans="1:18" s="2042" customFormat="1" ht="28.5" customHeight="1" thickBot="1">
      <c r="A58" s="1634" t="s">
        <v>1823</v>
      </c>
      <c r="B58" s="784" t="s">
        <v>656</v>
      </c>
      <c r="C58" s="53">
        <f ca="1">ROUND(IF(项目基本情况!B11="自然人",C47*F58,C59+C60+C61),1)</f>
        <v>1.3</v>
      </c>
      <c r="D58" s="2600" t="s">
        <v>657</v>
      </c>
      <c r="E58" s="2601" t="s">
        <v>690</v>
      </c>
      <c r="F58" s="810" t="str">
        <f ca="1">IF(项目基本情况!B11="企业","",IF(INDIRECT("'数据-取费表'!c"&amp;$G$1)="住宅",5%,IF(F48*F49*F50/12/(1+'数据-取费表'!C42)&gt;20000,12%,7%)))</f>
        <v/>
      </c>
      <c r="I58" s="3111" t="s">
        <v>2356</v>
      </c>
      <c r="J58" s="3049" t="e">
        <f ca="1">IF(J55&lt;0.4,0.4,J55)</f>
        <v>#VALUE!</v>
      </c>
      <c r="K58" s="3073" t="s">
        <v>2361</v>
      </c>
      <c r="L58" s="1891" t="e">
        <f ca="1">ROUND(POWER(1+L52,L47-L48)*(POWER(1+L52,L48)-1)/(POWER(1+L52,L47)-1),4)</f>
        <v>#DIV/0!</v>
      </c>
      <c r="O58" s="2360" t="s">
        <v>2378</v>
      </c>
      <c r="P58" s="2361" t="s">
        <v>2409</v>
      </c>
      <c r="Q58" s="2362">
        <f ca="1">L60</f>
        <v>0</v>
      </c>
      <c r="R58" s="2365" t="s">
        <v>2411</v>
      </c>
    </row>
    <row r="59" spans="1:18" s="2042" customFormat="1" ht="28.5" customHeight="1" thickBot="1">
      <c r="A59" s="1633" t="s">
        <v>1830</v>
      </c>
      <c r="B59" s="784" t="s">
        <v>660</v>
      </c>
      <c r="C59" s="53">
        <f ca="1">ROUND(C47*F59/1.05,1)</f>
        <v>0</v>
      </c>
      <c r="D59" s="2601" t="s">
        <v>1755</v>
      </c>
      <c r="E59" s="784" t="s">
        <v>1746</v>
      </c>
      <c r="F59" s="809">
        <f t="shared" ref="F59:F65" si="0">F32</f>
        <v>5.5000000000000007E-2</v>
      </c>
      <c r="I59" s="3111" t="s">
        <v>2357</v>
      </c>
      <c r="J59" s="3112" t="str">
        <f ca="1">IF(OR(M47="住宅",J51&lt;L48,J56="是"),"——",ROUND(C29*J58,0))</f>
        <v>——</v>
      </c>
      <c r="K59" s="3073"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2380</v>
      </c>
      <c r="P59" s="2361" t="s">
        <v>2410</v>
      </c>
      <c r="Q59" s="2362">
        <f>IF(L55="比较法",L49,IF(L55="基准地价",L50,0))</f>
        <v>0</v>
      </c>
      <c r="R59" s="2361" t="s">
        <v>2377</v>
      </c>
    </row>
    <row r="60" spans="1:18" s="2042" customFormat="1" ht="18" customHeight="1" thickBot="1">
      <c r="A60" s="1633" t="s">
        <v>1831</v>
      </c>
      <c r="B60" s="784" t="s">
        <v>1757</v>
      </c>
      <c r="C60" s="53">
        <f ca="1">IF(D60="按租金收入计税",ROUND(C47*F60,1),IF(D60="按房产原值计税",ROUND(C56*F60*0.7,1),INDIRECT("'数据-取费表'!Aj"&amp;$G$1)))</f>
        <v>0</v>
      </c>
      <c r="D60" s="2601" t="str">
        <f>D33</f>
        <v>按租金收入计税</v>
      </c>
      <c r="E60" s="784" t="s">
        <v>1746</v>
      </c>
      <c r="F60" s="809">
        <f t="shared" si="0"/>
        <v>0.12</v>
      </c>
      <c r="I60" s="3113" t="s">
        <v>2358</v>
      </c>
      <c r="J60" s="3114" t="str">
        <f ca="1">IF(OR(M47="住宅",J51&lt;L48,J56="是"),"0",ROUND(J59/(1+J52)^J53,0))</f>
        <v>0</v>
      </c>
      <c r="K60" s="3115" t="s">
        <v>2363</v>
      </c>
      <c r="L60" s="3114">
        <f ca="1">IF(OR(M47="住宅",L48&lt;J51),0,ROUND(L57*(L58/L59-1),0))</f>
        <v>0</v>
      </c>
      <c r="O60" s="2363" t="s">
        <v>2381</v>
      </c>
      <c r="P60" s="2361" t="s">
        <v>2390</v>
      </c>
      <c r="Q60" s="2364">
        <f>L52</f>
        <v>0</v>
      </c>
      <c r="R60" s="2365"/>
    </row>
    <row r="61" spans="1:18" s="2042" customFormat="1" ht="18" customHeight="1" thickBot="1">
      <c r="A61" s="1636" t="s">
        <v>1832</v>
      </c>
      <c r="B61" s="341" t="s">
        <v>668</v>
      </c>
      <c r="C61" s="54">
        <f ca="1">ROUND(F61*F62/10000,1)</f>
        <v>1.3</v>
      </c>
      <c r="D61" s="814" t="s">
        <v>669</v>
      </c>
      <c r="E61" s="784" t="s">
        <v>670</v>
      </c>
      <c r="F61" s="640">
        <f t="shared" si="0"/>
        <v>3</v>
      </c>
      <c r="K61" s="2069"/>
      <c r="O61" s="2363" t="s">
        <v>2383</v>
      </c>
      <c r="P61" s="2361" t="s">
        <v>2391</v>
      </c>
      <c r="Q61" s="2362" t="e">
        <f ca="1">L58</f>
        <v>#DIV/0!</v>
      </c>
      <c r="R61" s="2365" t="s">
        <v>2392</v>
      </c>
    </row>
    <row r="62" spans="1:18" s="2042" customFormat="1" ht="16.2" thickBot="1">
      <c r="A62" s="815"/>
      <c r="B62" s="793"/>
      <c r="C62" s="69"/>
      <c r="D62" s="816"/>
      <c r="E62" s="784" t="s">
        <v>674</v>
      </c>
      <c r="F62" s="785">
        <f t="shared" ca="1" si="0"/>
        <v>4386.9900000000007</v>
      </c>
      <c r="I62" s="3116" t="s">
        <v>2364</v>
      </c>
      <c r="J62" s="3117" t="s">
        <v>2365</v>
      </c>
      <c r="K62" s="3117" t="s">
        <v>2366</v>
      </c>
      <c r="L62" s="3117" t="s">
        <v>2347</v>
      </c>
      <c r="M62" s="3118" t="s">
        <v>2936</v>
      </c>
      <c r="O62" s="2363" t="s">
        <v>2385</v>
      </c>
      <c r="P62" s="2361" t="str">
        <f>K59</f>
        <v>建设期及建筑物耐用年限下的土地年期修正系数Kn</v>
      </c>
      <c r="Q62" s="2362" t="e">
        <f ca="1">L59</f>
        <v>#DIV/0!</v>
      </c>
      <c r="R62" s="2365" t="s">
        <v>2394</v>
      </c>
    </row>
    <row r="63" spans="1:18" s="2042" customFormat="1" ht="16.2" thickBot="1">
      <c r="A63" s="1634" t="s">
        <v>1888</v>
      </c>
      <c r="B63" s="784" t="s">
        <v>676</v>
      </c>
      <c r="C63" s="53">
        <f ca="1">ROUND(C56*F63,1)</f>
        <v>136.19999999999999</v>
      </c>
      <c r="D63" s="2601" t="s">
        <v>1802</v>
      </c>
      <c r="E63" s="784" t="s">
        <v>1746</v>
      </c>
      <c r="F63" s="817">
        <f t="shared" ca="1" si="0"/>
        <v>1.4999999999999999E-2</v>
      </c>
      <c r="I63" s="3116" t="s">
        <v>2367</v>
      </c>
      <c r="J63" s="3117">
        <v>70</v>
      </c>
      <c r="K63" s="3117">
        <v>50</v>
      </c>
      <c r="L63" s="3117">
        <v>80</v>
      </c>
      <c r="M63" s="3119">
        <v>0.02</v>
      </c>
      <c r="O63" s="2360" t="s">
        <v>2388</v>
      </c>
      <c r="P63" s="2361" t="s">
        <v>2405</v>
      </c>
      <c r="Q63" s="2362">
        <f ca="1">Q57+Q58</f>
        <v>22514</v>
      </c>
      <c r="R63" s="2365" t="s">
        <v>2389</v>
      </c>
    </row>
    <row r="64" spans="1:18" s="2042" customFormat="1" ht="16.2" thickBot="1">
      <c r="A64" s="1634" t="s">
        <v>1889</v>
      </c>
      <c r="B64" s="784" t="s">
        <v>679</v>
      </c>
      <c r="C64" s="53">
        <f ca="1">ROUND(C55*F64,1)</f>
        <v>13.6</v>
      </c>
      <c r="D64" s="2601" t="s">
        <v>680</v>
      </c>
      <c r="E64" s="784" t="s">
        <v>1746</v>
      </c>
      <c r="F64" s="818">
        <f t="shared" ca="1" si="0"/>
        <v>1.5E-3</v>
      </c>
      <c r="I64" s="3116" t="s">
        <v>2368</v>
      </c>
      <c r="J64" s="3117">
        <v>50</v>
      </c>
      <c r="K64" s="3117">
        <v>35</v>
      </c>
      <c r="L64" s="3117">
        <v>60</v>
      </c>
      <c r="M64" s="846">
        <v>0</v>
      </c>
      <c r="O64" s="2366" t="s">
        <v>2412</v>
      </c>
      <c r="P64" s="1578"/>
      <c r="Q64" s="1589"/>
      <c r="R64" s="1578"/>
    </row>
    <row r="65" spans="1:18" s="2042" customFormat="1" ht="16.2" thickBot="1">
      <c r="A65" s="1634" t="s">
        <v>1890</v>
      </c>
      <c r="B65" s="784" t="s">
        <v>666</v>
      </c>
      <c r="C65" s="53">
        <f ca="1">ROUND(C47*F65,1)</f>
        <v>0</v>
      </c>
      <c r="D65" s="2601" t="s">
        <v>683</v>
      </c>
      <c r="E65" s="784" t="s">
        <v>1746</v>
      </c>
      <c r="F65" s="794">
        <f t="shared" ca="1" si="0"/>
        <v>0.01</v>
      </c>
      <c r="I65" s="3116" t="s">
        <v>2369</v>
      </c>
      <c r="J65" s="3117">
        <v>40</v>
      </c>
      <c r="K65" s="3117">
        <v>30</v>
      </c>
      <c r="L65" s="3117">
        <v>50</v>
      </c>
      <c r="M65" s="3119">
        <v>0.02</v>
      </c>
      <c r="O65" s="2357" t="s">
        <v>2372</v>
      </c>
      <c r="P65" s="2358" t="s">
        <v>2373</v>
      </c>
      <c r="Q65" s="2359" t="s">
        <v>2374</v>
      </c>
      <c r="R65" s="2358" t="s">
        <v>2375</v>
      </c>
    </row>
    <row r="66" spans="1:18" s="2042" customFormat="1" ht="24.6" thickBot="1">
      <c r="A66" s="797" t="s">
        <v>1775</v>
      </c>
      <c r="B66" s="2961" t="s">
        <v>2818</v>
      </c>
      <c r="C66" s="799">
        <f ca="1">C47-C57</f>
        <v>-151</v>
      </c>
      <c r="D66" s="2600" t="s">
        <v>700</v>
      </c>
      <c r="E66" s="2599"/>
      <c r="F66" s="820"/>
      <c r="K66" s="2069"/>
      <c r="O66" s="2360" t="s">
        <v>2376</v>
      </c>
      <c r="P66" s="2361" t="s">
        <v>2406</v>
      </c>
      <c r="Q66" s="2362">
        <f ca="1">C40+J29</f>
        <v>22514</v>
      </c>
      <c r="R66" s="2361" t="s">
        <v>2377</v>
      </c>
    </row>
    <row r="67" spans="1:18" s="2042" customFormat="1" ht="19.2" thickBot="1">
      <c r="A67" s="781" t="s">
        <v>1779</v>
      </c>
      <c r="B67" s="2215" t="s">
        <v>2298</v>
      </c>
      <c r="C67" s="783">
        <f ca="1">ROUND(C66*(1-((1+F69)/(1+F67))^F68)/(F67-F69),0)</f>
        <v>-2245</v>
      </c>
      <c r="D67" s="814" t="s">
        <v>704</v>
      </c>
      <c r="E67" s="784" t="s">
        <v>705</v>
      </c>
      <c r="F67" s="794">
        <f ca="1">F40</f>
        <v>5.5E-2</v>
      </c>
      <c r="K67" s="2069"/>
      <c r="O67" s="2360" t="s">
        <v>2378</v>
      </c>
      <c r="P67" s="2361" t="s">
        <v>2409</v>
      </c>
      <c r="Q67" s="2362">
        <f ca="1">L60</f>
        <v>0</v>
      </c>
      <c r="R67" s="2365" t="s">
        <v>2411</v>
      </c>
    </row>
    <row r="68" spans="1:18" ht="20.399999999999999" thickBot="1">
      <c r="A68" s="786"/>
      <c r="B68" s="787"/>
      <c r="C68" s="788"/>
      <c r="D68" s="821" t="s">
        <v>1807</v>
      </c>
      <c r="E68" s="784" t="s">
        <v>1783</v>
      </c>
      <c r="F68" s="822">
        <f ca="1">F41</f>
        <v>31.78</v>
      </c>
      <c r="O68" s="2363" t="s">
        <v>2380</v>
      </c>
      <c r="P68" s="2361" t="s">
        <v>2410</v>
      </c>
      <c r="Q68" s="2367">
        <f ca="1">L51</f>
        <v>7617</v>
      </c>
      <c r="R68" s="2368" t="s">
        <v>2413</v>
      </c>
    </row>
    <row r="69" spans="1:18" ht="19.2" thickBot="1">
      <c r="A69" s="790"/>
      <c r="B69" s="791"/>
      <c r="C69" s="792"/>
      <c r="D69" s="816"/>
      <c r="E69" s="784" t="s">
        <v>710</v>
      </c>
      <c r="F69" s="2333"/>
      <c r="O69" s="2363" t="s">
        <v>2381</v>
      </c>
      <c r="P69" s="2369" t="s">
        <v>2395</v>
      </c>
      <c r="Q69" s="2362">
        <f ca="1">ROUND(Q70-Q71*Q72,0)</f>
        <v>472</v>
      </c>
      <c r="R69" s="2365"/>
    </row>
    <row r="70" spans="1:18" ht="16.2" thickBot="1">
      <c r="A70" s="823" t="s">
        <v>1786</v>
      </c>
      <c r="B70" s="824" t="s">
        <v>1809</v>
      </c>
      <c r="C70" s="825">
        <f ca="1">ROUND(C67*10000/F70,0)</f>
        <v>-698</v>
      </c>
      <c r="D70" s="826" t="s">
        <v>1810</v>
      </c>
      <c r="E70" s="827" t="s">
        <v>1811</v>
      </c>
      <c r="F70" s="828">
        <f ca="1">F43</f>
        <v>32157.53</v>
      </c>
      <c r="O70" s="2363" t="s">
        <v>2396</v>
      </c>
      <c r="P70" s="2369" t="s">
        <v>2397</v>
      </c>
      <c r="Q70" s="2362">
        <f ca="1">C39</f>
        <v>1198</v>
      </c>
      <c r="R70" s="2361" t="s">
        <v>2377</v>
      </c>
    </row>
    <row r="71" spans="1:18" ht="16.2" thickBot="1">
      <c r="O71" s="2363" t="s">
        <v>2398</v>
      </c>
      <c r="P71" s="2369" t="s">
        <v>2399</v>
      </c>
      <c r="Q71" s="2362">
        <f ca="1">C13</f>
        <v>9080</v>
      </c>
      <c r="R71" s="2361" t="s">
        <v>2377</v>
      </c>
    </row>
    <row r="72" spans="1:18" ht="16.2" thickBot="1">
      <c r="O72" s="2363" t="s">
        <v>2400</v>
      </c>
      <c r="P72" s="2369" t="s">
        <v>2401</v>
      </c>
      <c r="Q72" s="2364">
        <f ca="1">J36</f>
        <v>0.08</v>
      </c>
      <c r="R72" s="2365"/>
    </row>
    <row r="73" spans="1:18" ht="16.2" thickBot="1">
      <c r="O73" s="2363" t="s">
        <v>2383</v>
      </c>
      <c r="P73" s="2361" t="s">
        <v>2390</v>
      </c>
      <c r="Q73" s="2364">
        <f>L52</f>
        <v>0</v>
      </c>
      <c r="R73" s="2365"/>
    </row>
    <row r="74" spans="1:18" ht="19.2" thickBot="1">
      <c r="O74" s="2363" t="s">
        <v>2385</v>
      </c>
      <c r="P74" s="2361" t="s">
        <v>2391</v>
      </c>
      <c r="Q74" s="2362" t="e">
        <f ca="1">L58</f>
        <v>#DIV/0!</v>
      </c>
      <c r="R74" s="2365" t="s">
        <v>2392</v>
      </c>
    </row>
    <row r="75" spans="1:18" ht="16.2" thickBot="1">
      <c r="O75" s="2363" t="s">
        <v>2414</v>
      </c>
      <c r="P75" s="2361" t="str">
        <f>K59</f>
        <v>建设期及建筑物耐用年限下的土地年期修正系数Kn</v>
      </c>
      <c r="Q75" s="2362" t="e">
        <f ca="1">L59</f>
        <v>#DIV/0!</v>
      </c>
      <c r="R75" s="2365" t="s">
        <v>2394</v>
      </c>
    </row>
    <row r="76" spans="1:18" ht="16.2" thickBot="1">
      <c r="O76" s="2360" t="s">
        <v>2388</v>
      </c>
      <c r="P76" s="2361" t="s">
        <v>2405</v>
      </c>
      <c r="Q76" s="2362">
        <f ca="1">Q66+Q67</f>
        <v>22514</v>
      </c>
      <c r="R76" s="2365" t="s">
        <v>2389</v>
      </c>
    </row>
  </sheetData>
  <sheetProtection password="C66D" sheet="1" objects="1" scenarios="1" formatCells="0" formatColumns="0" formatRows="0"/>
  <mergeCells count="3">
    <mergeCell ref="K53:L53"/>
    <mergeCell ref="B6:B9"/>
    <mergeCell ref="I6:I9"/>
  </mergeCells>
  <phoneticPr fontId="8" type="noConversion"/>
  <conditionalFormatting sqref="K55">
    <cfRule type="expression" dxfId="87" priority="7">
      <formula>$L$48&gt;$J$51</formula>
    </cfRule>
  </conditionalFormatting>
  <conditionalFormatting sqref="I55">
    <cfRule type="expression" dxfId="86" priority="8">
      <formula>$J$51&gt;$L$48</formula>
    </cfRule>
  </conditionalFormatting>
  <conditionalFormatting sqref="I60">
    <cfRule type="expression" dxfId="85" priority="6">
      <formula>$J$51&gt;$L$48</formula>
    </cfRule>
  </conditionalFormatting>
  <conditionalFormatting sqref="K60">
    <cfRule type="expression" dxfId="84" priority="5">
      <formula>$L$48&gt;$J$51</formula>
    </cfRule>
  </conditionalFormatting>
  <conditionalFormatting sqref="C11">
    <cfRule type="expression" dxfId="83" priority="4">
      <formula>$F$10="自定义"</formula>
    </cfRule>
  </conditionalFormatting>
  <conditionalFormatting sqref="J11">
    <cfRule type="expression" dxfId="82" priority="2">
      <formula>$M$10="自定义"</formula>
    </cfRule>
  </conditionalFormatting>
  <conditionalFormatting sqref="C53">
    <cfRule type="expression" dxfId="81" priority="1">
      <formula>$F$52="自定义"</formula>
    </cfRule>
  </conditionalFormatting>
  <dataValidations count="8">
    <dataValidation type="list" allowBlank="1" showInputMessage="1" showErrorMessage="1" sqref="C1:C3" xr:uid="{00000000-0002-0000-2100-000000000000}">
      <formula1>项目类型</formula1>
    </dataValidation>
    <dataValidation type="list" allowBlank="1" showInputMessage="1" showErrorMessage="1" sqref="K19" xr:uid="{00000000-0002-0000-2100-000001000000}">
      <formula1>"按租金收入计税,按房产原值计税"</formula1>
    </dataValidation>
    <dataValidation type="list" allowBlank="1" showInputMessage="1" showErrorMessage="1" sqref="D33" xr:uid="{00000000-0002-0000-2100-000002000000}">
      <formula1>"按租金收入计税,按房产原值计税,按票据"</formula1>
    </dataValidation>
    <dataValidation type="list" allowBlank="1" showInputMessage="1" showErrorMessage="1" sqref="J56" xr:uid="{00000000-0002-0000-2100-000003000000}">
      <formula1>判定</formula1>
    </dataValidation>
    <dataValidation type="list" allowBlank="1" showInputMessage="1" showErrorMessage="1" sqref="J47" xr:uid="{00000000-0002-0000-2100-000004000000}">
      <formula1>"钢,钢混,砖混"</formula1>
    </dataValidation>
    <dataValidation type="list" allowBlank="1" showInputMessage="1" showErrorMessage="1" sqref="J48" xr:uid="{00000000-0002-0000-2100-000005000000}">
      <formula1>"非生产用房,生产用房,受腐蚀的生产用房"</formula1>
    </dataValidation>
    <dataValidation type="list" allowBlank="1" showInputMessage="1" showErrorMessage="1" sqref="F10 M10 F52" xr:uid="{00000000-0002-0000-2100-000006000000}">
      <formula1>"押一,押二,押三,自定义"</formula1>
    </dataValidation>
    <dataValidation type="list" allowBlank="1" showInputMessage="1" showErrorMessage="1" sqref="D1" xr:uid="{00000000-0002-0000-2100-000007000000}">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I38"/>
  <sheetViews>
    <sheetView workbookViewId="0">
      <selection activeCell="J53" sqref="J53"/>
    </sheetView>
  </sheetViews>
  <sheetFormatPr defaultRowHeight="14.4"/>
  <cols>
    <col min="1" max="1" width="10.44140625" customWidth="1"/>
    <col min="2" max="2" width="12.88671875" customWidth="1"/>
    <col min="3" max="3" width="8.77734375" customWidth="1"/>
  </cols>
  <sheetData>
    <row r="1" spans="1:9" ht="15.6">
      <c r="A1" s="3613" t="s">
        <v>2468</v>
      </c>
      <c r="B1" s="3614"/>
      <c r="C1" s="3615"/>
      <c r="D1" s="3616">
        <f>SUM(I10,I15,I20,I21,I23)</f>
        <v>0</v>
      </c>
      <c r="E1" s="3616"/>
      <c r="F1" s="3616"/>
      <c r="G1" s="3616"/>
      <c r="H1" s="3616"/>
      <c r="I1" s="3617"/>
    </row>
    <row r="2" spans="1:9">
      <c r="A2" s="3603" t="s">
        <v>2469</v>
      </c>
      <c r="B2" s="3604" t="s">
        <v>2470</v>
      </c>
      <c r="C2" s="3604"/>
      <c r="D2" s="2469" t="s">
        <v>2471</v>
      </c>
      <c r="E2" s="2469" t="s">
        <v>2472</v>
      </c>
      <c r="F2" s="2469" t="s">
        <v>2473</v>
      </c>
      <c r="G2" s="2469" t="s">
        <v>2474</v>
      </c>
      <c r="H2" s="2469" t="s">
        <v>2475</v>
      </c>
      <c r="I2" s="2470" t="s">
        <v>2476</v>
      </c>
    </row>
    <row r="3" spans="1:9">
      <c r="A3" s="3603"/>
      <c r="B3" s="3604" t="s">
        <v>2477</v>
      </c>
      <c r="C3" s="3604"/>
      <c r="D3" s="2471"/>
      <c r="E3" s="2469"/>
      <c r="F3" s="2472"/>
      <c r="G3" s="2472"/>
      <c r="H3" s="2473"/>
      <c r="I3" s="2474">
        <f>ROUND(D3*E3*F3*G3*H3/10000,0)</f>
        <v>0</v>
      </c>
    </row>
    <row r="4" spans="1:9">
      <c r="A4" s="3603"/>
      <c r="B4" s="3604" t="s">
        <v>2478</v>
      </c>
      <c r="C4" s="3604"/>
      <c r="D4" s="2471"/>
      <c r="E4" s="2469"/>
      <c r="F4" s="2472"/>
      <c r="G4" s="2472"/>
      <c r="H4" s="2473"/>
      <c r="I4" s="2474">
        <f t="shared" ref="I4:I9" si="0">ROUND(D4*E4*F4*G4*H4/10000,0)</f>
        <v>0</v>
      </c>
    </row>
    <row r="5" spans="1:9">
      <c r="A5" s="3603"/>
      <c r="B5" s="3604" t="s">
        <v>2479</v>
      </c>
      <c r="C5" s="3604"/>
      <c r="D5" s="2471"/>
      <c r="E5" s="2469"/>
      <c r="F5" s="2472"/>
      <c r="G5" s="2472"/>
      <c r="H5" s="2473"/>
      <c r="I5" s="2474">
        <f t="shared" si="0"/>
        <v>0</v>
      </c>
    </row>
    <row r="6" spans="1:9">
      <c r="A6" s="3603"/>
      <c r="B6" s="3604" t="s">
        <v>2480</v>
      </c>
      <c r="C6" s="3604"/>
      <c r="D6" s="2471"/>
      <c r="E6" s="2469"/>
      <c r="F6" s="2472"/>
      <c r="G6" s="2472"/>
      <c r="H6" s="2473"/>
      <c r="I6" s="2474">
        <f t="shared" si="0"/>
        <v>0</v>
      </c>
    </row>
    <row r="7" spans="1:9">
      <c r="A7" s="3603"/>
      <c r="B7" s="3604" t="s">
        <v>2481</v>
      </c>
      <c r="C7" s="3604"/>
      <c r="D7" s="2471"/>
      <c r="E7" s="2469"/>
      <c r="F7" s="2472"/>
      <c r="G7" s="2472"/>
      <c r="H7" s="2473"/>
      <c r="I7" s="2474">
        <f t="shared" si="0"/>
        <v>0</v>
      </c>
    </row>
    <row r="8" spans="1:9">
      <c r="A8" s="3603"/>
      <c r="B8" s="3604" t="s">
        <v>2482</v>
      </c>
      <c r="C8" s="3604"/>
      <c r="D8" s="2471"/>
      <c r="E8" s="2469"/>
      <c r="F8" s="2472"/>
      <c r="G8" s="2472"/>
      <c r="H8" s="2473"/>
      <c r="I8" s="2474">
        <f t="shared" si="0"/>
        <v>0</v>
      </c>
    </row>
    <row r="9" spans="1:9">
      <c r="A9" s="3603"/>
      <c r="B9" s="3604" t="s">
        <v>2483</v>
      </c>
      <c r="C9" s="3604"/>
      <c r="D9" s="2471"/>
      <c r="E9" s="2469"/>
      <c r="F9" s="2472"/>
      <c r="G9" s="2472"/>
      <c r="H9" s="2473"/>
      <c r="I9" s="2474">
        <f t="shared" si="0"/>
        <v>0</v>
      </c>
    </row>
    <row r="10" spans="1:9">
      <c r="A10" s="3603"/>
      <c r="B10" s="3605" t="s">
        <v>2484</v>
      </c>
      <c r="C10" s="3605"/>
      <c r="D10" s="2475">
        <v>527</v>
      </c>
      <c r="E10" s="2475" t="e">
        <f>ROUND(D1*10000/D10/H9,0)</f>
        <v>#DIV/0!</v>
      </c>
      <c r="F10" s="2476"/>
      <c r="G10" s="2476"/>
      <c r="H10" s="2477"/>
      <c r="I10" s="2478">
        <f>SUM(I3:I9)</f>
        <v>0</v>
      </c>
    </row>
    <row r="11" spans="1:9" ht="15.6">
      <c r="A11" s="3603" t="s">
        <v>2485</v>
      </c>
      <c r="B11" s="3604" t="s">
        <v>2486</v>
      </c>
      <c r="C11" s="3604"/>
      <c r="D11" s="2471" t="s">
        <v>2487</v>
      </c>
      <c r="E11" s="2471" t="s">
        <v>2488</v>
      </c>
      <c r="F11" s="2472" t="s">
        <v>2489</v>
      </c>
      <c r="G11" s="2472" t="s">
        <v>2490</v>
      </c>
      <c r="H11" s="2479" t="s">
        <v>2491</v>
      </c>
      <c r="I11" s="2470" t="s">
        <v>2492</v>
      </c>
    </row>
    <row r="12" spans="1:9">
      <c r="A12" s="3603"/>
      <c r="B12" s="3604" t="s">
        <v>2493</v>
      </c>
      <c r="C12" s="3604"/>
      <c r="D12" s="2471"/>
      <c r="E12" s="2471"/>
      <c r="F12" s="2472"/>
      <c r="G12" s="2473"/>
      <c r="H12" s="2480"/>
      <c r="I12" s="2470">
        <f>ROUND(D12*E12*F12*G12/10000,0)</f>
        <v>0</v>
      </c>
    </row>
    <row r="13" spans="1:9">
      <c r="A13" s="3603"/>
      <c r="B13" s="3604" t="s">
        <v>2494</v>
      </c>
      <c r="C13" s="3604"/>
      <c r="D13" s="2471"/>
      <c r="E13" s="2471"/>
      <c r="F13" s="2472"/>
      <c r="G13" s="2473"/>
      <c r="H13" s="2480"/>
      <c r="I13" s="2470">
        <f>ROUND(D13*E13*F13*G13/10000,0)</f>
        <v>0</v>
      </c>
    </row>
    <row r="14" spans="1:9">
      <c r="A14" s="3603"/>
      <c r="B14" s="3604" t="s">
        <v>2495</v>
      </c>
      <c r="C14" s="3604"/>
      <c r="D14" s="2471"/>
      <c r="E14" s="2471"/>
      <c r="F14" s="2472"/>
      <c r="G14" s="2473"/>
      <c r="H14" s="2480"/>
      <c r="I14" s="2470">
        <f>ROUND(D14*E14*F14*G14/10000,0)</f>
        <v>0</v>
      </c>
    </row>
    <row r="15" spans="1:9">
      <c r="A15" s="3603"/>
      <c r="B15" s="3605" t="s">
        <v>2484</v>
      </c>
      <c r="C15" s="3605"/>
      <c r="D15" s="2475"/>
      <c r="E15" s="2475">
        <f>SUM(E12:E14)</f>
        <v>0</v>
      </c>
      <c r="F15" s="2476"/>
      <c r="G15" s="2473"/>
      <c r="H15" s="2480"/>
      <c r="I15" s="2481">
        <f>SUM(I12:I14)</f>
        <v>0</v>
      </c>
    </row>
    <row r="16" spans="1:9" ht="24">
      <c r="A16" s="3603" t="s">
        <v>2496</v>
      </c>
      <c r="B16" s="3604" t="s">
        <v>2497</v>
      </c>
      <c r="C16" s="3604"/>
      <c r="D16" s="2471" t="s">
        <v>2498</v>
      </c>
      <c r="E16" s="2482" t="s">
        <v>2499</v>
      </c>
      <c r="F16" s="2472" t="s">
        <v>2500</v>
      </c>
      <c r="G16" s="2473" t="s">
        <v>2490</v>
      </c>
      <c r="H16" s="2479" t="s">
        <v>2491</v>
      </c>
      <c r="I16" s="2470" t="s">
        <v>2492</v>
      </c>
    </row>
    <row r="17" spans="1:9" ht="15.6">
      <c r="A17" s="3603"/>
      <c r="B17" s="3604" t="s">
        <v>2501</v>
      </c>
      <c r="C17" s="3604"/>
      <c r="D17" s="2471"/>
      <c r="E17" s="2471"/>
      <c r="F17" s="2472"/>
      <c r="G17" s="2473"/>
      <c r="H17" s="2483"/>
      <c r="I17" s="2484">
        <f>ROUND(D17*E17*F17*G17/10000,0)</f>
        <v>0</v>
      </c>
    </row>
    <row r="18" spans="1:9" ht="15.6">
      <c r="A18" s="3603"/>
      <c r="B18" s="3604" t="s">
        <v>2502</v>
      </c>
      <c r="C18" s="3604"/>
      <c r="D18" s="2471"/>
      <c r="E18" s="2471"/>
      <c r="F18" s="2472"/>
      <c r="G18" s="2473"/>
      <c r="H18" s="2483"/>
      <c r="I18" s="2484">
        <f>ROUND(D18*E18*F18*G18/10000,0)</f>
        <v>0</v>
      </c>
    </row>
    <row r="19" spans="1:9" ht="15.6">
      <c r="A19" s="3603"/>
      <c r="B19" s="3604" t="s">
        <v>2503</v>
      </c>
      <c r="C19" s="3604"/>
      <c r="D19" s="2471"/>
      <c r="E19" s="2471"/>
      <c r="F19" s="2472"/>
      <c r="G19" s="2473"/>
      <c r="H19" s="2483"/>
      <c r="I19" s="2484">
        <f>ROUND(D19*E19*F19*G19/10000,0)</f>
        <v>0</v>
      </c>
    </row>
    <row r="20" spans="1:9">
      <c r="A20" s="3603"/>
      <c r="B20" s="3605" t="s">
        <v>2484</v>
      </c>
      <c r="C20" s="3605"/>
      <c r="D20" s="2475">
        <f>SUM(D17:D19)</f>
        <v>0</v>
      </c>
      <c r="E20" s="2475"/>
      <c r="F20" s="2476"/>
      <c r="G20" s="2473"/>
      <c r="H20" s="2480"/>
      <c r="I20" s="2481">
        <f>SUM(I17:I19)</f>
        <v>0</v>
      </c>
    </row>
    <row r="21" spans="1:9">
      <c r="A21" s="3603" t="s">
        <v>2504</v>
      </c>
      <c r="B21" s="3606"/>
      <c r="C21" s="3606"/>
      <c r="D21" s="3606"/>
      <c r="E21" s="3606"/>
      <c r="F21" s="3606"/>
      <c r="G21" s="3606"/>
      <c r="H21" s="2485">
        <v>0.1</v>
      </c>
      <c r="I21" s="2478">
        <f>ROUND(I10*H21,0)</f>
        <v>0</v>
      </c>
    </row>
    <row r="22" spans="1:9" ht="15.6">
      <c r="A22" s="3607" t="s">
        <v>2505</v>
      </c>
      <c r="B22" s="3608"/>
      <c r="C22" s="3609"/>
      <c r="D22" s="2486" t="s">
        <v>2506</v>
      </c>
      <c r="E22" s="2486" t="s">
        <v>2507</v>
      </c>
      <c r="F22" s="2487" t="s">
        <v>2508</v>
      </c>
      <c r="G22" s="2487" t="s">
        <v>2509</v>
      </c>
      <c r="H22" s="2479" t="s">
        <v>2510</v>
      </c>
      <c r="I22" s="2470" t="s">
        <v>2511</v>
      </c>
    </row>
    <row r="23" spans="1:9" ht="15" thickBot="1">
      <c r="A23" s="3610"/>
      <c r="B23" s="3611"/>
      <c r="C23" s="3612"/>
      <c r="D23" s="2488"/>
      <c r="E23" s="2488"/>
      <c r="F23" s="2488"/>
      <c r="G23" s="2489"/>
      <c r="H23" s="2490"/>
      <c r="I23" s="2491">
        <f>ROUND(E23*D23*F23*(1-G23)/10000,0)</f>
        <v>0</v>
      </c>
    </row>
    <row r="26" spans="1:9">
      <c r="A26" s="2492" t="s">
        <v>2512</v>
      </c>
      <c r="B26" s="2492"/>
      <c r="C26" s="2492"/>
      <c r="D26" s="2492"/>
      <c r="E26" s="3600">
        <f>C27-C30-C31-C32</f>
        <v>0</v>
      </c>
      <c r="F26" s="3600"/>
      <c r="G26" s="3600"/>
      <c r="H26" s="2992" t="s">
        <v>2839</v>
      </c>
    </row>
    <row r="27" spans="1:9">
      <c r="A27" s="2493">
        <v>1</v>
      </c>
      <c r="B27" s="2494" t="s">
        <v>2513</v>
      </c>
      <c r="C27" s="2494"/>
      <c r="D27" s="2494"/>
      <c r="E27" s="3601"/>
      <c r="F27" s="3601"/>
      <c r="G27" s="3601"/>
    </row>
    <row r="28" spans="1:9">
      <c r="A28" s="2495" t="s">
        <v>2514</v>
      </c>
      <c r="B28" s="2494" t="s">
        <v>2515</v>
      </c>
      <c r="C28" s="2494"/>
      <c r="D28" s="2494"/>
      <c r="E28" s="3601"/>
      <c r="F28" s="3601"/>
      <c r="G28" s="3601"/>
    </row>
    <row r="29" spans="1:9">
      <c r="A29" s="2495" t="s">
        <v>2516</v>
      </c>
      <c r="B29" s="2494" t="s">
        <v>2457</v>
      </c>
      <c r="C29" s="2494"/>
      <c r="D29" s="2494"/>
      <c r="E29" s="2494" t="s">
        <v>2517</v>
      </c>
      <c r="F29" s="2494"/>
      <c r="G29" s="2494"/>
    </row>
    <row r="30" spans="1:9">
      <c r="A30" s="2493">
        <v>2</v>
      </c>
      <c r="B30" s="2494" t="s">
        <v>2518</v>
      </c>
      <c r="C30" s="2494">
        <f>C27*D30</f>
        <v>0</v>
      </c>
      <c r="D30" s="2496">
        <v>0.2</v>
      </c>
      <c r="E30" s="2494" t="s">
        <v>2519</v>
      </c>
      <c r="F30" s="2494"/>
      <c r="G30" s="2494"/>
    </row>
    <row r="31" spans="1:9">
      <c r="A31" s="2493">
        <v>3</v>
      </c>
      <c r="B31" s="2494" t="s">
        <v>2520</v>
      </c>
      <c r="C31" s="2494">
        <f>C25*D31</f>
        <v>0</v>
      </c>
      <c r="D31" s="2496">
        <v>0.15</v>
      </c>
      <c r="E31" s="2494" t="s">
        <v>2521</v>
      </c>
      <c r="F31" s="2494"/>
      <c r="G31" s="2494"/>
    </row>
    <row r="32" spans="1:9">
      <c r="A32" s="2493">
        <v>4</v>
      </c>
      <c r="B32" s="2494" t="s">
        <v>2522</v>
      </c>
      <c r="C32" s="2494">
        <f>C27*D32</f>
        <v>0</v>
      </c>
      <c r="D32" s="2496">
        <v>0.05</v>
      </c>
      <c r="E32" s="3602"/>
      <c r="F32" s="3602"/>
      <c r="G32" s="3602"/>
    </row>
    <row r="33" spans="1:7" hidden="1">
      <c r="A33" s="3597" t="s">
        <v>2523</v>
      </c>
      <c r="B33" s="3598"/>
      <c r="C33" s="3598"/>
      <c r="D33" s="3599"/>
      <c r="E33" s="3600"/>
      <c r="F33" s="3600"/>
      <c r="G33" s="3600"/>
    </row>
    <row r="34" spans="1:7" hidden="1">
      <c r="A34" s="2497">
        <v>1</v>
      </c>
      <c r="B34" s="2494" t="s">
        <v>2524</v>
      </c>
      <c r="C34" s="2494"/>
      <c r="D34" s="2494"/>
      <c r="E34" s="3601"/>
      <c r="F34" s="3601"/>
      <c r="G34" s="3601"/>
    </row>
    <row r="35" spans="1:7" hidden="1">
      <c r="A35" s="2497">
        <v>2</v>
      </c>
      <c r="B35" s="2494" t="s">
        <v>2525</v>
      </c>
      <c r="C35" s="2494"/>
      <c r="D35" s="2494"/>
      <c r="E35" s="3601"/>
      <c r="F35" s="3601"/>
      <c r="G35" s="3601"/>
    </row>
    <row r="36" spans="1:7" hidden="1">
      <c r="A36" s="2497">
        <v>3</v>
      </c>
      <c r="B36" s="2494" t="s">
        <v>2526</v>
      </c>
      <c r="C36" s="2494"/>
      <c r="D36" s="2494"/>
      <c r="E36" s="3601"/>
      <c r="F36" s="3601"/>
      <c r="G36" s="3601"/>
    </row>
    <row r="37" spans="1:7" hidden="1">
      <c r="A37" s="2497">
        <v>4</v>
      </c>
      <c r="B37" s="2494" t="s">
        <v>2527</v>
      </c>
      <c r="C37" s="2494"/>
      <c r="D37" s="2494"/>
      <c r="E37" s="3601"/>
      <c r="F37" s="3601"/>
      <c r="G37" s="3601"/>
    </row>
    <row r="38" spans="1:7" hidden="1">
      <c r="A38" s="3597" t="s">
        <v>2528</v>
      </c>
      <c r="B38" s="3598"/>
      <c r="C38" s="3598"/>
      <c r="D38" s="3599"/>
      <c r="E38" s="3600"/>
      <c r="F38" s="3600"/>
      <c r="G38" s="360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68" customWidth="1"/>
    <col min="2" max="2" width="26.6640625" style="2169" customWidth="1"/>
    <col min="3" max="3" width="11.109375" style="2169" customWidth="1"/>
    <col min="4" max="5" width="11.109375" style="2170" customWidth="1"/>
    <col min="6" max="6" width="9.44140625" style="2169" customWidth="1"/>
    <col min="7" max="7" width="31.88671875" style="2169" customWidth="1"/>
    <col min="8" max="25" width="9" style="2171" customWidth="1"/>
    <col min="26" max="254" width="9" style="2169" customWidth="1"/>
    <col min="255" max="16384" width="8.33203125" style="2169"/>
  </cols>
  <sheetData>
    <row r="1" spans="1:25" s="2042" customFormat="1" ht="21">
      <c r="A1" s="421" t="s">
        <v>603</v>
      </c>
      <c r="B1" s="742"/>
      <c r="C1" s="2165"/>
      <c r="D1" s="2165"/>
      <c r="E1" s="2165"/>
      <c r="F1" s="2165"/>
      <c r="G1" s="2091"/>
    </row>
    <row r="2" spans="1:25" s="2042" customFormat="1" ht="18" customHeight="1">
      <c r="A2" s="423" t="s">
        <v>467</v>
      </c>
      <c r="B2" s="425">
        <f ca="1">C23</f>
        <v>0</v>
      </c>
      <c r="C2" s="2091"/>
      <c r="D2" s="2091"/>
      <c r="E2" s="2091"/>
      <c r="F2" s="2091"/>
      <c r="G2" s="2091"/>
    </row>
    <row r="3" spans="1:25" s="2042" customFormat="1" ht="18" customHeight="1">
      <c r="A3" s="1375" t="s">
        <v>1684</v>
      </c>
      <c r="B3" s="425">
        <f ca="1">ROUND(B2*10000/'数据-汇总表'!E3,0)</f>
        <v>0</v>
      </c>
      <c r="C3" s="2091"/>
      <c r="D3" s="2091"/>
      <c r="E3" s="2091"/>
      <c r="F3" s="2091"/>
      <c r="G3" s="2091"/>
    </row>
    <row r="4" spans="1:25" s="2042" customFormat="1" ht="18" customHeight="1">
      <c r="A4" s="426" t="s">
        <v>468</v>
      </c>
      <c r="B4" s="427">
        <f ca="1">ROUND(B2*10000/'数据-汇总表'!D3,0)</f>
        <v>0</v>
      </c>
      <c r="C4" s="2044"/>
      <c r="D4" s="2091"/>
      <c r="E4" s="2091"/>
      <c r="F4" s="2091"/>
      <c r="G4" s="2091"/>
    </row>
    <row r="5" spans="1:25" s="2042" customFormat="1" ht="18" customHeight="1" thickBot="1">
      <c r="A5" s="429"/>
      <c r="B5" s="430">
        <f ca="1">ROUND(B2/('数据-汇总表'!D3/666.67),0)</f>
        <v>0</v>
      </c>
      <c r="C5" s="431" t="s">
        <v>469</v>
      </c>
      <c r="D5" s="2091"/>
      <c r="E5" s="2091"/>
      <c r="F5" s="2091"/>
      <c r="G5" s="2091"/>
    </row>
    <row r="6" spans="1:25" s="2166" customFormat="1" ht="13.5" customHeight="1">
      <c r="A6" s="743"/>
      <c r="B6" s="744" t="s">
        <v>604</v>
      </c>
      <c r="C6" s="745" t="s">
        <v>605</v>
      </c>
      <c r="D6" s="745" t="s">
        <v>606</v>
      </c>
      <c r="E6" s="746" t="s">
        <v>607</v>
      </c>
      <c r="F6" s="746" t="s">
        <v>608</v>
      </c>
      <c r="G6" s="747"/>
    </row>
    <row r="7" spans="1:25" s="2166" customFormat="1" ht="13.5" customHeight="1">
      <c r="A7" s="2431">
        <v>1</v>
      </c>
      <c r="B7" s="748" t="s">
        <v>609</v>
      </c>
      <c r="C7" s="749">
        <f>C8+C9</f>
        <v>0</v>
      </c>
      <c r="D7" s="749"/>
      <c r="E7" s="750"/>
      <c r="F7" s="750"/>
      <c r="G7" s="2441"/>
    </row>
    <row r="8" spans="1:25" s="2166" customFormat="1" ht="13.5" customHeight="1">
      <c r="A8" s="2431" t="s">
        <v>2437</v>
      </c>
      <c r="B8" s="2434" t="s">
        <v>2439</v>
      </c>
      <c r="C8" s="2435"/>
      <c r="D8" s="749"/>
      <c r="E8" s="750"/>
      <c r="F8" s="750"/>
      <c r="G8" s="751"/>
    </row>
    <row r="9" spans="1:25" s="2166" customFormat="1" ht="13.5" customHeight="1">
      <c r="A9" s="2431" t="s">
        <v>2438</v>
      </c>
      <c r="B9" s="2434" t="s">
        <v>2440</v>
      </c>
      <c r="C9" s="2435"/>
      <c r="D9" s="749"/>
      <c r="E9" s="750"/>
      <c r="F9" s="750"/>
      <c r="G9" s="751"/>
    </row>
    <row r="10" spans="1:25" s="2166" customFormat="1" ht="36">
      <c r="A10" s="2431">
        <v>2</v>
      </c>
      <c r="B10" s="748" t="s">
        <v>613</v>
      </c>
      <c r="C10" s="749">
        <f>C11+C14+C15</f>
        <v>0</v>
      </c>
      <c r="D10" s="760">
        <f>'数据-汇总表'!E3</f>
        <v>167887.58000000002</v>
      </c>
      <c r="E10" s="749">
        <f>'数据-取费表'!B31</f>
        <v>60</v>
      </c>
      <c r="F10" s="761"/>
      <c r="G10" s="759" t="s">
        <v>614</v>
      </c>
    </row>
    <row r="11" spans="1:25" s="2166" customFormat="1" ht="13.5" customHeight="1">
      <c r="A11" s="2431" t="s">
        <v>2437</v>
      </c>
      <c r="B11" s="752" t="s">
        <v>610</v>
      </c>
      <c r="C11" s="753">
        <f>'数据-取费表'!B29</f>
        <v>0</v>
      </c>
      <c r="D11" s="754"/>
      <c r="E11" s="753"/>
      <c r="F11" s="755"/>
      <c r="G11" s="2440" t="s">
        <v>2448</v>
      </c>
    </row>
    <row r="12" spans="1:25" s="2166" customFormat="1" ht="13.5" customHeight="1">
      <c r="A12" s="2438" t="s">
        <v>2445</v>
      </c>
      <c r="B12" s="756" t="s">
        <v>611</v>
      </c>
      <c r="C12" s="757">
        <f>ROUND(D12*E12/10000,0)</f>
        <v>1567</v>
      </c>
      <c r="D12" s="758">
        <f>'数据-汇总表'!E5</f>
        <v>87034.41</v>
      </c>
      <c r="E12" s="757">
        <f>'数据-取费表'!B27</f>
        <v>180</v>
      </c>
      <c r="F12" s="755"/>
      <c r="G12" s="759"/>
    </row>
    <row r="13" spans="1:25" s="2166" customFormat="1" ht="13.5" customHeight="1">
      <c r="A13" s="2438" t="s">
        <v>2444</v>
      </c>
      <c r="B13" s="756" t="s">
        <v>612</v>
      </c>
      <c r="C13" s="757">
        <f>ROUND(D13*E13/10000,0)</f>
        <v>1455</v>
      </c>
      <c r="D13" s="758">
        <f>'数据-汇总表'!E6</f>
        <v>80853.170000000013</v>
      </c>
      <c r="E13" s="757">
        <f>'数据-取费表'!B28</f>
        <v>180</v>
      </c>
      <c r="F13" s="755"/>
      <c r="G13" s="759"/>
    </row>
    <row r="14" spans="1:25" s="2166" customFormat="1" ht="13.5" customHeight="1">
      <c r="A14" s="2431" t="s">
        <v>2438</v>
      </c>
      <c r="B14" s="2437" t="s">
        <v>2441</v>
      </c>
      <c r="C14" s="2435"/>
      <c r="D14" s="758"/>
      <c r="E14" s="757"/>
      <c r="F14" s="2436"/>
      <c r="G14" s="2439" t="s">
        <v>2446</v>
      </c>
    </row>
    <row r="15" spans="1:25" s="2166" customFormat="1" ht="13.5" customHeight="1">
      <c r="A15" s="2431" t="s">
        <v>2443</v>
      </c>
      <c r="B15" s="2437" t="s">
        <v>2442</v>
      </c>
      <c r="C15" s="2435"/>
      <c r="D15" s="758"/>
      <c r="E15" s="757"/>
      <c r="F15" s="2436"/>
      <c r="G15" s="2439" t="s">
        <v>2447</v>
      </c>
    </row>
    <row r="16" spans="1:25" s="2167" customFormat="1" ht="48">
      <c r="A16" s="2431">
        <v>3</v>
      </c>
      <c r="B16" s="748" t="s">
        <v>615</v>
      </c>
      <c r="C16" s="2435"/>
      <c r="D16" s="760"/>
      <c r="E16" s="749"/>
      <c r="F16" s="761"/>
      <c r="G16" s="759" t="s">
        <v>2449</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6.4">
      <c r="A17" s="2432">
        <v>4</v>
      </c>
      <c r="B17" s="748" t="s">
        <v>616</v>
      </c>
      <c r="C17" s="253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8" t="s">
        <v>617</v>
      </c>
      <c r="C18" s="749">
        <f>ROUND((C7+C10+C16)*F18,0)</f>
        <v>0</v>
      </c>
      <c r="D18" s="762"/>
      <c r="E18" s="763"/>
      <c r="F18" s="761">
        <f>'数据-取费表'!Q16</f>
        <v>0.13</v>
      </c>
      <c r="G18" s="765"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8" t="s">
        <v>619</v>
      </c>
      <c r="C19" s="749">
        <f ca="1">C7+C10+C16+C17+C18</f>
        <v>0</v>
      </c>
      <c r="D19" s="760"/>
      <c r="E19" s="749"/>
      <c r="F19" s="761"/>
      <c r="G19" s="765"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5.2">
      <c r="A20" s="2431">
        <v>7</v>
      </c>
      <c r="B20" s="748" t="s">
        <v>621</v>
      </c>
      <c r="C20" s="749">
        <f ca="1">ROUND(C19*F20,0)</f>
        <v>0</v>
      </c>
      <c r="D20" s="760"/>
      <c r="E20" s="749"/>
      <c r="F20" s="1345"/>
      <c r="G20" s="765"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8" t="s">
        <v>623</v>
      </c>
      <c r="C21" s="749">
        <f ca="1">C19+C20</f>
        <v>0</v>
      </c>
      <c r="D21" s="760"/>
      <c r="E21" s="749"/>
      <c r="F21" s="761"/>
      <c r="G21" s="765"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8" t="s">
        <v>625</v>
      </c>
      <c r="C22" s="749">
        <f ca="1">ROUND(C21*F22,0)</f>
        <v>0</v>
      </c>
      <c r="D22" s="760"/>
      <c r="E22" s="749"/>
      <c r="F22" s="766">
        <f>'数据-取费表'!AP16</f>
        <v>0.83299999999999996</v>
      </c>
      <c r="G22" s="765"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7" t="s">
        <v>627</v>
      </c>
      <c r="C23" s="768">
        <f ca="1">C22</f>
        <v>0</v>
      </c>
      <c r="D23" s="769"/>
      <c r="E23" s="768"/>
      <c r="F23" s="770"/>
      <c r="G23" s="771"/>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20" type="noConversion"/>
  <dataValidations count="1">
    <dataValidation type="list" allowBlank="1" showInputMessage="1" showErrorMessage="1" sqref="G7" xr:uid="{00000000-0002-0000-2300-000000000000}">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04"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777</v>
      </c>
      <c r="C1" s="504" t="s">
        <v>720</v>
      </c>
      <c r="D1" s="849"/>
      <c r="E1" s="506"/>
      <c r="F1" s="2760"/>
      <c r="G1" s="1586" t="s">
        <v>721</v>
      </c>
      <c r="H1" s="506"/>
      <c r="I1" s="506"/>
      <c r="J1" s="506"/>
      <c r="K1" s="507"/>
      <c r="L1" s="1548"/>
      <c r="M1" s="1549"/>
      <c r="N1" s="1549"/>
      <c r="O1" s="1549"/>
      <c r="P1" s="2190"/>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0"/>
      <c r="D2" s="2110"/>
      <c r="E2" s="2044"/>
      <c r="F2" s="2112"/>
      <c r="G2" s="2111"/>
      <c r="H2" s="2111"/>
      <c r="I2" s="2111"/>
      <c r="J2" s="2111"/>
      <c r="K2" s="2111"/>
      <c r="L2" s="2114"/>
      <c r="M2" s="2115"/>
      <c r="N2" s="2115"/>
      <c r="O2" s="2115"/>
      <c r="P2" s="2190"/>
      <c r="Q2" s="1550"/>
      <c r="R2" s="1550"/>
      <c r="S2" s="1550"/>
      <c r="T2" s="1550"/>
      <c r="U2" s="1550"/>
      <c r="V2" s="1550"/>
      <c r="W2" s="1550"/>
      <c r="X2" s="1550"/>
      <c r="Y2" s="1550"/>
      <c r="Z2" s="1550"/>
      <c r="AA2" s="1550"/>
      <c r="AB2" s="1550"/>
      <c r="AC2" s="1551"/>
    </row>
    <row r="3" spans="1:29" s="1332" customFormat="1" ht="28.5" customHeight="1" thickBot="1">
      <c r="A3" s="509" t="s">
        <v>519</v>
      </c>
      <c r="B3" s="510" t="e">
        <f>C50</f>
        <v>#DIV/0!</v>
      </c>
      <c r="C3" s="852" t="s">
        <v>722</v>
      </c>
      <c r="D3" s="851">
        <f>SUMIF('数据-汇总表'!$C19:$C33,D1,'数据-汇总表'!$E19:$E33)</f>
        <v>0</v>
      </c>
      <c r="E3" s="2044"/>
      <c r="F3" s="2112"/>
      <c r="G3" s="2111"/>
      <c r="H3" s="2111"/>
      <c r="I3" s="2111"/>
      <c r="J3" s="2111"/>
      <c r="K3" s="2113"/>
      <c r="L3" s="2114"/>
      <c r="M3" s="2115"/>
      <c r="N3" s="2115"/>
      <c r="O3" s="2115"/>
      <c r="P3" s="2190"/>
      <c r="Q3" s="1550"/>
      <c r="R3" s="1550"/>
      <c r="S3" s="1550"/>
      <c r="T3" s="1550"/>
      <c r="U3" s="1550"/>
      <c r="V3" s="1550"/>
      <c r="W3" s="1550"/>
      <c r="X3" s="1550"/>
      <c r="Y3" s="1550"/>
      <c r="Z3" s="1550"/>
      <c r="AA3" s="1550"/>
      <c r="AB3" s="1550"/>
      <c r="AC3" s="1551"/>
    </row>
    <row r="4" spans="1:29" ht="14.4">
      <c r="A4" s="512" t="s">
        <v>521</v>
      </c>
      <c r="B4" s="513"/>
      <c r="C4" s="3516" t="s">
        <v>522</v>
      </c>
      <c r="D4" s="3517"/>
      <c r="E4" s="3540" t="s">
        <v>523</v>
      </c>
      <c r="F4" s="3541"/>
      <c r="G4" s="3516" t="s">
        <v>524</v>
      </c>
      <c r="H4" s="3517"/>
      <c r="I4" s="3516" t="s">
        <v>525</v>
      </c>
      <c r="J4" s="3517"/>
      <c r="K4" s="514" t="s">
        <v>526</v>
      </c>
      <c r="L4" s="2116"/>
      <c r="M4" s="2117"/>
      <c r="N4" s="2117"/>
      <c r="O4" s="2117"/>
      <c r="P4" s="3618" t="s">
        <v>527</v>
      </c>
      <c r="Q4" s="3519"/>
      <c r="R4" s="3504" t="s">
        <v>523</v>
      </c>
      <c r="S4" s="3505"/>
      <c r="T4" s="3504" t="s">
        <v>524</v>
      </c>
      <c r="U4" s="3505"/>
      <c r="V4" s="3524" t="s">
        <v>525</v>
      </c>
      <c r="W4" s="3524"/>
      <c r="X4" s="1553"/>
      <c r="Y4" s="3504" t="s">
        <v>527</v>
      </c>
      <c r="Z4" s="3505"/>
      <c r="AA4" s="3499" t="s">
        <v>523</v>
      </c>
      <c r="AB4" s="3499" t="s">
        <v>524</v>
      </c>
      <c r="AC4" s="3499" t="s">
        <v>525</v>
      </c>
    </row>
    <row r="5" spans="1:29">
      <c r="A5" s="515"/>
      <c r="B5" s="516"/>
      <c r="C5" s="3527" t="s">
        <v>2923</v>
      </c>
      <c r="D5" s="3528"/>
      <c r="E5" s="3542" t="s">
        <v>2924</v>
      </c>
      <c r="F5" s="3543"/>
      <c r="G5" s="3527" t="s">
        <v>2925</v>
      </c>
      <c r="H5" s="3528"/>
      <c r="I5" s="3527" t="s">
        <v>2926</v>
      </c>
      <c r="J5" s="3528"/>
      <c r="K5" s="514"/>
      <c r="L5" s="2116"/>
      <c r="M5" s="2117"/>
      <c r="N5" s="2117"/>
      <c r="O5" s="2117"/>
      <c r="P5" s="3619"/>
      <c r="Q5" s="3521"/>
      <c r="R5" s="3506"/>
      <c r="S5" s="3507"/>
      <c r="T5" s="3506"/>
      <c r="U5" s="3507"/>
      <c r="V5" s="3524"/>
      <c r="W5" s="3524"/>
      <c r="X5" s="1553"/>
      <c r="Y5" s="3506"/>
      <c r="Z5" s="3507"/>
      <c r="AA5" s="3500"/>
      <c r="AB5" s="3500"/>
      <c r="AC5" s="3500"/>
    </row>
    <row r="6" spans="1:29" ht="15" thickBot="1">
      <c r="A6" s="517"/>
      <c r="B6" s="518"/>
      <c r="C6" s="3525" t="s">
        <v>2927</v>
      </c>
      <c r="D6" s="3526"/>
      <c r="E6" s="3544" t="s">
        <v>2927</v>
      </c>
      <c r="F6" s="3545"/>
      <c r="G6" s="3525" t="s">
        <v>2927</v>
      </c>
      <c r="H6" s="3526"/>
      <c r="I6" s="3525" t="s">
        <v>2927</v>
      </c>
      <c r="J6" s="3526"/>
      <c r="K6" s="514" t="s">
        <v>528</v>
      </c>
      <c r="L6" s="2116"/>
      <c r="M6" s="2117"/>
      <c r="N6" s="2117"/>
      <c r="O6" s="2117"/>
      <c r="P6" s="3620"/>
      <c r="Q6" s="3523"/>
      <c r="R6" s="3506"/>
      <c r="S6" s="3507"/>
      <c r="T6" s="3508"/>
      <c r="U6" s="3509"/>
      <c r="V6" s="3524"/>
      <c r="W6" s="3524"/>
      <c r="X6" s="1553"/>
      <c r="Y6" s="3508"/>
      <c r="Z6" s="3509"/>
      <c r="AA6" s="3501"/>
      <c r="AB6" s="3501"/>
      <c r="AC6" s="3501"/>
    </row>
    <row r="7" spans="1:29" s="1216" customFormat="1" ht="15" thickBot="1">
      <c r="A7" s="2865"/>
      <c r="B7" s="2872" t="s">
        <v>529</v>
      </c>
      <c r="C7" s="519">
        <f>'数据-取费表'!B2</f>
        <v>43889</v>
      </c>
      <c r="D7" s="520">
        <v>100</v>
      </c>
      <c r="E7" s="521"/>
      <c r="F7" s="522">
        <f>SUMIF(59:59,YEAR(E7)&amp;"-"&amp;MONTH(E7),60:60)</f>
        <v>0</v>
      </c>
      <c r="G7" s="521"/>
      <c r="H7" s="520">
        <f>SUMIF(59:59,YEAR(G7)&amp;"-"&amp;MONTH(G7),60:60)</f>
        <v>0</v>
      </c>
      <c r="I7" s="521"/>
      <c r="J7" s="520">
        <f>SUMIF(59:59,YEAR(I7)&amp;"-"&amp;MONTH(I7),60:60)</f>
        <v>0</v>
      </c>
      <c r="K7" s="524"/>
      <c r="L7" s="2118"/>
      <c r="M7" s="2119"/>
      <c r="N7" s="2119"/>
      <c r="O7" s="2119"/>
      <c r="P7" s="3511" t="s">
        <v>530</v>
      </c>
      <c r="Q7" s="3511"/>
      <c r="R7" s="1554" t="s">
        <v>8</v>
      </c>
      <c r="S7" s="1555">
        <f t="shared" ref="S7:S15" si="0">F7</f>
        <v>0</v>
      </c>
      <c r="T7" s="1554" t="s">
        <v>8</v>
      </c>
      <c r="U7" s="1555">
        <f t="shared" ref="U7:U15" si="1">H7</f>
        <v>0</v>
      </c>
      <c r="V7" s="1554" t="s">
        <v>8</v>
      </c>
      <c r="W7" s="1555">
        <f t="shared" ref="W7:W15" si="2">J7</f>
        <v>0</v>
      </c>
      <c r="X7" s="1556"/>
      <c r="Y7" s="3502" t="s">
        <v>530</v>
      </c>
      <c r="Z7" s="3503"/>
      <c r="AA7" s="1557" t="e">
        <f>D7/F7</f>
        <v>#DIV/0!</v>
      </c>
      <c r="AB7" s="1557" t="e">
        <f>D7/H7</f>
        <v>#DIV/0!</v>
      </c>
      <c r="AC7" s="1557" t="e">
        <f>D7/J7</f>
        <v>#DIV/0!</v>
      </c>
    </row>
    <row r="8" spans="1:29" s="1216" customFormat="1" ht="15" thickBot="1">
      <c r="A8" s="2866"/>
      <c r="B8" s="2873" t="s">
        <v>531</v>
      </c>
      <c r="C8" s="525" t="s">
        <v>576</v>
      </c>
      <c r="D8" s="520">
        <v>100</v>
      </c>
      <c r="E8" s="525"/>
      <c r="F8" s="522">
        <f>SUMIF(62:62,E8,63:63)-SUMIF(62:62,C8,63:63)+100</f>
        <v>0</v>
      </c>
      <c r="G8" s="525"/>
      <c r="H8" s="520">
        <f>SUMIF(62:62,G8,63:63)-SUMIF(62:62,C8,63:63)+100</f>
        <v>0</v>
      </c>
      <c r="I8" s="525"/>
      <c r="J8" s="520">
        <f>SUMIF(62:62,I8,63:63)-SUMIF(62:62,C8,63:63)+100</f>
        <v>0</v>
      </c>
      <c r="K8" s="524"/>
      <c r="L8" s="2118"/>
      <c r="M8" s="2119"/>
      <c r="N8" s="2119"/>
      <c r="O8" s="2119"/>
      <c r="P8" s="3511" t="s">
        <v>533</v>
      </c>
      <c r="Q8" s="3503"/>
      <c r="R8" s="1554" t="s">
        <v>8</v>
      </c>
      <c r="S8" s="1555">
        <f t="shared" si="0"/>
        <v>0</v>
      </c>
      <c r="T8" s="1554" t="s">
        <v>8</v>
      </c>
      <c r="U8" s="1555">
        <f t="shared" si="1"/>
        <v>0</v>
      </c>
      <c r="V8" s="1554" t="s">
        <v>8</v>
      </c>
      <c r="W8" s="1555">
        <f t="shared" si="2"/>
        <v>0</v>
      </c>
      <c r="X8" s="1556"/>
      <c r="Y8" s="3502" t="s">
        <v>533</v>
      </c>
      <c r="Z8" s="3503"/>
      <c r="AA8" s="1557" t="e">
        <f t="shared" ref="AA8:AA47" si="3">D8/F8</f>
        <v>#DIV/0!</v>
      </c>
      <c r="AB8" s="1557" t="e">
        <f t="shared" ref="AB8:AB47" si="4">D8/H8</f>
        <v>#DIV/0!</v>
      </c>
      <c r="AC8" s="1557" t="e">
        <f t="shared" ref="AC8:AC47" si="5">D8/J8</f>
        <v>#DIV/0!</v>
      </c>
    </row>
    <row r="9" spans="1:29" s="1216" customFormat="1" ht="14.4">
      <c r="A9" s="2867"/>
      <c r="B9" s="2874" t="s">
        <v>2752</v>
      </c>
      <c r="C9" s="857"/>
      <c r="D9" s="254">
        <v>100</v>
      </c>
      <c r="E9" s="860"/>
      <c r="F9" s="254">
        <f>SUMIF(64:64,E9,65:65)-SUMIF(64:64,C9,65:65)+100</f>
        <v>100</v>
      </c>
      <c r="G9" s="858"/>
      <c r="H9" s="254">
        <f>SUMIF(64:64,G9,65:65)-SUMIF(64:64,C9,65:65)+100</f>
        <v>100</v>
      </c>
      <c r="I9" s="858"/>
      <c r="J9" s="254">
        <f>SUMIF(64:64,I9,65:65)-SUMIF(64:64,C9,65:65)+100</f>
        <v>100</v>
      </c>
      <c r="K9" s="524"/>
      <c r="L9" s="2118"/>
      <c r="M9" s="2119"/>
      <c r="N9" s="2119"/>
      <c r="O9" s="2119"/>
      <c r="P9" s="3510" t="s">
        <v>535</v>
      </c>
      <c r="Q9" s="1147" t="str">
        <f t="shared" ref="Q9:Q15" si="6">B9</f>
        <v>用途</v>
      </c>
      <c r="R9" s="1554" t="s">
        <v>8</v>
      </c>
      <c r="S9" s="1555">
        <f t="shared" si="0"/>
        <v>100</v>
      </c>
      <c r="T9" s="1554" t="s">
        <v>8</v>
      </c>
      <c r="U9" s="1555">
        <f t="shared" si="1"/>
        <v>100</v>
      </c>
      <c r="V9" s="1554" t="s">
        <v>8</v>
      </c>
      <c r="W9" s="1555">
        <f t="shared" si="2"/>
        <v>100</v>
      </c>
      <c r="X9" s="1556"/>
      <c r="Y9" s="3467" t="s">
        <v>536</v>
      </c>
      <c r="Z9" s="1146" t="str">
        <f t="shared" ref="Z9:Z15" si="7">Q9</f>
        <v>用途</v>
      </c>
      <c r="AA9" s="1557">
        <f t="shared" si="3"/>
        <v>1</v>
      </c>
      <c r="AB9" s="1557">
        <f t="shared" si="4"/>
        <v>1</v>
      </c>
      <c r="AC9" s="1557">
        <f t="shared" si="5"/>
        <v>1</v>
      </c>
    </row>
    <row r="10" spans="1:29" s="1334" customFormat="1" ht="28.8">
      <c r="A10" s="2868"/>
      <c r="B10" s="2873" t="s">
        <v>2753</v>
      </c>
      <c r="C10" s="861"/>
      <c r="D10" s="255">
        <v>100</v>
      </c>
      <c r="E10" s="861"/>
      <c r="F10" s="255">
        <f>SUMIF(66:66,E10,67:67)-SUMIF(66:66,C10,67:67)+100</f>
        <v>100</v>
      </c>
      <c r="G10" s="862"/>
      <c r="H10" s="255">
        <f>SUMIF(66:66,G10,67:67)-SUMIF(66:66,C10,67:67)+100</f>
        <v>100</v>
      </c>
      <c r="I10" s="861"/>
      <c r="J10" s="255">
        <f>SUMIF(66:66,I10,67:67)-SUMIF(66:66,C10,67:67)+100</f>
        <v>100</v>
      </c>
      <c r="K10" s="584"/>
      <c r="L10" s="2121"/>
      <c r="M10" s="2161"/>
      <c r="N10" s="2161"/>
      <c r="O10" s="2161"/>
      <c r="P10" s="3510"/>
      <c r="Q10" s="1147" t="str">
        <f t="shared" si="6"/>
        <v>土地使用年限（年）</v>
      </c>
      <c r="R10" s="1554" t="s">
        <v>8</v>
      </c>
      <c r="S10" s="1555">
        <f t="shared" si="0"/>
        <v>100</v>
      </c>
      <c r="T10" s="1554" t="s">
        <v>8</v>
      </c>
      <c r="U10" s="1555">
        <f t="shared" si="1"/>
        <v>100</v>
      </c>
      <c r="V10" s="1554" t="s">
        <v>8</v>
      </c>
      <c r="W10" s="1555">
        <f t="shared" si="2"/>
        <v>100</v>
      </c>
      <c r="X10" s="1556"/>
      <c r="Y10" s="3467"/>
      <c r="Z10" s="1146" t="str">
        <f t="shared" si="7"/>
        <v>土地使用年限（年）</v>
      </c>
      <c r="AA10" s="1557">
        <f t="shared" si="3"/>
        <v>1</v>
      </c>
      <c r="AB10" s="1557">
        <f t="shared" si="4"/>
        <v>1</v>
      </c>
      <c r="AC10" s="1557">
        <f t="shared" si="5"/>
        <v>1</v>
      </c>
    </row>
    <row r="11" spans="1:29" ht="15">
      <c r="A11" s="2869"/>
      <c r="B11" s="2873"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3"/>
      <c r="M11" s="2117"/>
      <c r="N11" s="2117"/>
      <c r="O11" s="2117"/>
      <c r="P11" s="3510"/>
      <c r="Q11" s="1147" t="str">
        <f t="shared" si="6"/>
        <v>容积率</v>
      </c>
      <c r="R11" s="1554" t="s">
        <v>8</v>
      </c>
      <c r="S11" s="1555" t="e">
        <f t="shared" si="0"/>
        <v>#N/A</v>
      </c>
      <c r="T11" s="1554" t="s">
        <v>8</v>
      </c>
      <c r="U11" s="1555" t="e">
        <f t="shared" si="1"/>
        <v>#N/A</v>
      </c>
      <c r="V11" s="1554" t="s">
        <v>8</v>
      </c>
      <c r="W11" s="1555" t="e">
        <f t="shared" si="2"/>
        <v>#N/A</v>
      </c>
      <c r="X11" s="1556"/>
      <c r="Y11" s="3467"/>
      <c r="Z11" s="1146" t="str">
        <f t="shared" si="7"/>
        <v>容积率</v>
      </c>
      <c r="AA11" s="1557" t="e">
        <f t="shared" si="3"/>
        <v>#N/A</v>
      </c>
      <c r="AB11" s="1557" t="e">
        <f t="shared" si="4"/>
        <v>#N/A</v>
      </c>
      <c r="AC11" s="1557" t="e">
        <f t="shared" si="5"/>
        <v>#N/A</v>
      </c>
    </row>
    <row r="12" spans="1:29" s="1216" customFormat="1" ht="15">
      <c r="A12" s="2870"/>
      <c r="B12" s="2876">
        <v>111</v>
      </c>
      <c r="C12" s="528"/>
      <c r="D12" s="538">
        <v>100</v>
      </c>
      <c r="E12" s="528"/>
      <c r="F12" s="255">
        <f>SUMIF(71:71,E12,72:72)-SUMIF(71:71,C12,72:72)+100</f>
        <v>100</v>
      </c>
      <c r="G12" s="910"/>
      <c r="H12" s="255">
        <f>SUMIF(71:71,G12,72:72)-SUMIF(71:71,C12,72:72)+100</f>
        <v>100</v>
      </c>
      <c r="I12" s="528"/>
      <c r="J12" s="255">
        <f>SUMIF(71:71,I12,72:72)-SUMIF(71:71,C12,72:72)+100</f>
        <v>100</v>
      </c>
      <c r="K12" s="581"/>
      <c r="L12" s="2118"/>
      <c r="M12" s="2119"/>
      <c r="N12" s="2119"/>
      <c r="O12" s="2119"/>
      <c r="P12" s="3510"/>
      <c r="Q12" s="1147">
        <f t="shared" si="6"/>
        <v>111</v>
      </c>
      <c r="R12" s="1554" t="s">
        <v>8</v>
      </c>
      <c r="S12" s="1555">
        <f t="shared" si="0"/>
        <v>100</v>
      </c>
      <c r="T12" s="1554" t="s">
        <v>8</v>
      </c>
      <c r="U12" s="1555">
        <f t="shared" si="1"/>
        <v>100</v>
      </c>
      <c r="V12" s="1554" t="s">
        <v>8</v>
      </c>
      <c r="W12" s="1555">
        <f t="shared" si="2"/>
        <v>100</v>
      </c>
      <c r="X12" s="1556"/>
      <c r="Y12" s="3467"/>
      <c r="Z12" s="1146">
        <f t="shared" si="7"/>
        <v>111</v>
      </c>
      <c r="AA12" s="1557">
        <f>D12/F12</f>
        <v>1</v>
      </c>
      <c r="AB12" s="1557">
        <f>D12/H12</f>
        <v>1</v>
      </c>
      <c r="AC12" s="1557">
        <f>D12/J12</f>
        <v>1</v>
      </c>
    </row>
    <row r="13" spans="1:29" ht="15">
      <c r="A13" s="2870"/>
      <c r="B13" s="2876">
        <v>111</v>
      </c>
      <c r="C13" s="539"/>
      <c r="D13" s="540">
        <v>100</v>
      </c>
      <c r="E13" s="528"/>
      <c r="F13" s="255">
        <f>SUMIF(73:73,E13,74:74)-SUMIF(73:73,C13,74:74)+100</f>
        <v>100</v>
      </c>
      <c r="G13" s="910"/>
      <c r="H13" s="540">
        <f>SUMIF(73:73,G13,74:74)-SUMIF(73:73,C13,74:74)+100</f>
        <v>100</v>
      </c>
      <c r="I13" s="528"/>
      <c r="J13" s="540">
        <f>SUMIF(73:73,I13,74:74)-SUMIF(73:73,C13,74:74)+100</f>
        <v>100</v>
      </c>
      <c r="K13" s="581"/>
      <c r="L13" s="2125"/>
      <c r="M13" s="2117"/>
      <c r="N13" s="2117"/>
      <c r="O13" s="2117"/>
      <c r="P13" s="3510"/>
      <c r="Q13" s="1147">
        <f t="shared" si="6"/>
        <v>111</v>
      </c>
      <c r="R13" s="1554" t="s">
        <v>8</v>
      </c>
      <c r="S13" s="1555">
        <f t="shared" si="0"/>
        <v>100</v>
      </c>
      <c r="T13" s="1554" t="s">
        <v>8</v>
      </c>
      <c r="U13" s="1555">
        <f t="shared" si="1"/>
        <v>100</v>
      </c>
      <c r="V13" s="1554" t="s">
        <v>8</v>
      </c>
      <c r="W13" s="1555">
        <f t="shared" si="2"/>
        <v>100</v>
      </c>
      <c r="X13" s="1556"/>
      <c r="Y13" s="3467"/>
      <c r="Z13" s="1146">
        <f t="shared" si="7"/>
        <v>111</v>
      </c>
      <c r="AA13" s="1557">
        <f t="shared" si="3"/>
        <v>1</v>
      </c>
      <c r="AB13" s="1557">
        <f t="shared" si="4"/>
        <v>1</v>
      </c>
      <c r="AC13" s="1557">
        <f t="shared" si="5"/>
        <v>1</v>
      </c>
    </row>
    <row r="14" spans="1:29" ht="15.6" thickBot="1">
      <c r="A14" s="2871"/>
      <c r="B14" s="2877">
        <v>111</v>
      </c>
      <c r="C14" s="545"/>
      <c r="D14" s="546">
        <v>100</v>
      </c>
      <c r="E14" s="911"/>
      <c r="F14" s="546">
        <f>SUMIF(75:75,E14,76:76)-SUMIF(75:75,C14,76:76)+100</f>
        <v>100</v>
      </c>
      <c r="G14" s="910"/>
      <c r="H14" s="546">
        <f>SUMIF(75:75,G14,76:76)-SUMIF(75:75,C14,76:76)+100</f>
        <v>100</v>
      </c>
      <c r="I14" s="528"/>
      <c r="J14" s="546">
        <f>SUMIF(75:75,I14,76:76)-SUMIF(75:75,C14,76:76)+100</f>
        <v>100</v>
      </c>
      <c r="K14" s="581"/>
      <c r="L14" s="2125"/>
      <c r="M14" s="2117"/>
      <c r="N14" s="2117"/>
      <c r="O14" s="2117"/>
      <c r="P14" s="3510"/>
      <c r="Q14" s="1147">
        <f t="shared" si="6"/>
        <v>111</v>
      </c>
      <c r="R14" s="1554" t="s">
        <v>8</v>
      </c>
      <c r="S14" s="1555">
        <f t="shared" si="0"/>
        <v>100</v>
      </c>
      <c r="T14" s="1554" t="s">
        <v>8</v>
      </c>
      <c r="U14" s="1555">
        <f t="shared" si="1"/>
        <v>100</v>
      </c>
      <c r="V14" s="1554" t="s">
        <v>8</v>
      </c>
      <c r="W14" s="1555">
        <f t="shared" si="2"/>
        <v>100</v>
      </c>
      <c r="X14" s="1556"/>
      <c r="Y14" s="3467"/>
      <c r="Z14" s="1146">
        <f t="shared" si="7"/>
        <v>111</v>
      </c>
      <c r="AA14" s="1557">
        <f t="shared" si="3"/>
        <v>1</v>
      </c>
      <c r="AB14" s="1557">
        <f t="shared" si="4"/>
        <v>1</v>
      </c>
      <c r="AC14" s="1557">
        <f t="shared" si="5"/>
        <v>1</v>
      </c>
    </row>
    <row r="15" spans="1:29" ht="15">
      <c r="A15" s="2863" t="s">
        <v>2750</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5"/>
      <c r="M15" s="2117"/>
      <c r="N15" s="2117"/>
      <c r="O15" s="2117"/>
      <c r="P15" s="3512" t="s">
        <v>540</v>
      </c>
      <c r="Q15" s="1558" t="str">
        <f t="shared" si="6"/>
        <v>办公集聚程度</v>
      </c>
      <c r="R15" s="1559" t="s">
        <v>8</v>
      </c>
      <c r="S15" s="1560">
        <f t="shared" si="0"/>
        <v>100</v>
      </c>
      <c r="T15" s="1559" t="s">
        <v>8</v>
      </c>
      <c r="U15" s="1560">
        <f t="shared" si="1"/>
        <v>100</v>
      </c>
      <c r="V15" s="1559" t="s">
        <v>8</v>
      </c>
      <c r="W15" s="1560">
        <f t="shared" si="2"/>
        <v>100</v>
      </c>
      <c r="X15" s="1553"/>
      <c r="Y15" s="3512" t="s">
        <v>540</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9"/>
      <c r="L16" s="2125"/>
      <c r="M16" s="2117"/>
      <c r="N16" s="2117"/>
      <c r="O16" s="2117"/>
      <c r="P16" s="3513"/>
      <c r="Q16" s="1558"/>
      <c r="R16" s="1559"/>
      <c r="S16" s="1560"/>
      <c r="T16" s="1559"/>
      <c r="U16" s="1560"/>
      <c r="V16" s="1559"/>
      <c r="W16" s="1560"/>
      <c r="X16" s="1553"/>
      <c r="Y16" s="3513"/>
      <c r="Z16" s="1561"/>
      <c r="AA16" s="1562">
        <v>1</v>
      </c>
      <c r="AB16" s="1562">
        <v>1</v>
      </c>
      <c r="AC16" s="1562">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c r="L17" s="2125"/>
      <c r="M17" s="2117"/>
      <c r="N17" s="2117"/>
      <c r="O17" s="2117"/>
      <c r="P17" s="3513"/>
      <c r="Q17" s="1558" t="str">
        <f>B17</f>
        <v>交通便捷度</v>
      </c>
      <c r="R17" s="1559" t="s">
        <v>8</v>
      </c>
      <c r="S17" s="1560">
        <f>F17</f>
        <v>100</v>
      </c>
      <c r="T17" s="1559" t="s">
        <v>8</v>
      </c>
      <c r="U17" s="1560">
        <f>H17</f>
        <v>100</v>
      </c>
      <c r="V17" s="1559" t="s">
        <v>8</v>
      </c>
      <c r="W17" s="1560">
        <f>J17</f>
        <v>100</v>
      </c>
      <c r="X17" s="1553"/>
      <c r="Y17" s="3513"/>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9"/>
      <c r="L18" s="2125"/>
      <c r="M18" s="2117"/>
      <c r="N18" s="2117"/>
      <c r="O18" s="2117"/>
      <c r="P18" s="3513"/>
      <c r="Q18" s="1558"/>
      <c r="R18" s="1559"/>
      <c r="S18" s="1560"/>
      <c r="T18" s="1559"/>
      <c r="U18" s="1560"/>
      <c r="V18" s="1559"/>
      <c r="W18" s="1560"/>
      <c r="X18" s="1553"/>
      <c r="Y18" s="3513"/>
      <c r="Z18" s="1561"/>
      <c r="AA18" s="1562">
        <v>1</v>
      </c>
      <c r="AB18" s="1562">
        <v>1</v>
      </c>
      <c r="AC18" s="1562">
        <v>1</v>
      </c>
    </row>
    <row r="19" spans="1:29" ht="15">
      <c r="A19" s="532"/>
      <c r="B19" s="2565" t="s">
        <v>2543</v>
      </c>
      <c r="C19" s="573" t="str">
        <f>估价对象房地状况!C7</f>
        <v>一般</v>
      </c>
      <c r="D19" s="565">
        <v>100</v>
      </c>
      <c r="E19" s="572"/>
      <c r="F19" s="565">
        <f>SUMIF(81:81,E20,82:82)-SUMIF(81:81,C20,82:82)+100</f>
        <v>100</v>
      </c>
      <c r="G19" s="570"/>
      <c r="H19" s="559">
        <f>SUMIF(81:81,G20,82:82)-SUMIF(81:81,C20,82:82)+100</f>
        <v>100</v>
      </c>
      <c r="I19" s="570"/>
      <c r="J19" s="559">
        <f>SUMIF(81:81,I20,82:82)-SUMIF(81:81,C20,82:82)+100</f>
        <v>100</v>
      </c>
      <c r="K19" s="898"/>
      <c r="L19" s="2125"/>
      <c r="M19" s="2117"/>
      <c r="N19" s="2117"/>
      <c r="O19" s="2117"/>
      <c r="P19" s="3513"/>
      <c r="Q19" s="1558" t="str">
        <f>B19</f>
        <v>公共配套设施</v>
      </c>
      <c r="R19" s="1559" t="s">
        <v>8</v>
      </c>
      <c r="S19" s="1560">
        <f>F19</f>
        <v>100</v>
      </c>
      <c r="T19" s="1559" t="s">
        <v>8</v>
      </c>
      <c r="U19" s="1560">
        <f>H19</f>
        <v>100</v>
      </c>
      <c r="V19" s="1559" t="s">
        <v>8</v>
      </c>
      <c r="W19" s="1560">
        <f>J19</f>
        <v>100</v>
      </c>
      <c r="X19" s="1553"/>
      <c r="Y19" s="3513"/>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9"/>
      <c r="L20" s="2125"/>
      <c r="M20" s="2117"/>
      <c r="N20" s="2117"/>
      <c r="O20" s="2117"/>
      <c r="P20" s="3513"/>
      <c r="Q20" s="1558"/>
      <c r="R20" s="1559"/>
      <c r="S20" s="1560"/>
      <c r="T20" s="1559"/>
      <c r="U20" s="1560"/>
      <c r="V20" s="1559"/>
      <c r="W20" s="1560"/>
      <c r="X20" s="1553"/>
      <c r="Y20" s="3513"/>
      <c r="Z20" s="1561"/>
      <c r="AA20" s="1562">
        <v>1</v>
      </c>
      <c r="AB20" s="1562">
        <v>1</v>
      </c>
      <c r="AC20" s="1562">
        <v>1</v>
      </c>
    </row>
    <row r="21" spans="1:29" ht="15">
      <c r="A21" s="532"/>
      <c r="B21" s="2553" t="s">
        <v>2555</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25"/>
      <c r="M21" s="2117"/>
      <c r="N21" s="2117"/>
      <c r="O21" s="2117"/>
      <c r="P21" s="3513"/>
      <c r="Q21" s="2541" t="str">
        <f>B21</f>
        <v>基础设施水平</v>
      </c>
      <c r="R21" s="1559" t="s">
        <v>8</v>
      </c>
      <c r="S21" s="1560">
        <f>F21</f>
        <v>100</v>
      </c>
      <c r="T21" s="1559" t="s">
        <v>8</v>
      </c>
      <c r="U21" s="1560">
        <f>H21</f>
        <v>100</v>
      </c>
      <c r="V21" s="1559" t="s">
        <v>8</v>
      </c>
      <c r="W21" s="1560">
        <f>J21</f>
        <v>100</v>
      </c>
      <c r="X21" s="2543"/>
      <c r="Y21" s="3513"/>
      <c r="Z21" s="2542"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4"/>
      <c r="L22" s="2125"/>
      <c r="M22" s="2117"/>
      <c r="N22" s="2117"/>
      <c r="O22" s="2117"/>
      <c r="P22" s="3513"/>
      <c r="Q22" s="2541"/>
      <c r="R22" s="1559"/>
      <c r="S22" s="1560"/>
      <c r="T22" s="1559"/>
      <c r="U22" s="1560"/>
      <c r="V22" s="1559"/>
      <c r="W22" s="1560"/>
      <c r="X22" s="2543"/>
      <c r="Y22" s="3513"/>
      <c r="Z22" s="2542"/>
      <c r="AA22" s="1562">
        <v>1</v>
      </c>
      <c r="AB22" s="1562">
        <v>1</v>
      </c>
      <c r="AC22" s="1562">
        <v>1</v>
      </c>
    </row>
    <row r="23" spans="1:29" ht="15">
      <c r="A23" s="532"/>
      <c r="B23" s="560" t="s">
        <v>778</v>
      </c>
      <c r="C23" s="573" t="str">
        <f>估价对象房地状况!C9</f>
        <v>一般</v>
      </c>
      <c r="D23" s="559">
        <v>100</v>
      </c>
      <c r="E23" s="564"/>
      <c r="F23" s="559">
        <f>SUMIF(85:85,E24,86:86)-SUMIF(85:85,C24,86:86)+100</f>
        <v>100</v>
      </c>
      <c r="G23" s="562"/>
      <c r="H23" s="559">
        <f>SUMIF(85:85,G24,86:86)-SUMIF(85:85,C24,86:86)+100</f>
        <v>100</v>
      </c>
      <c r="I23" s="562"/>
      <c r="J23" s="559">
        <f>SUMIF(85:85,I24,86:86)-SUMIF(85:85,C24,86:86)+100</f>
        <v>100</v>
      </c>
      <c r="K23" s="898"/>
      <c r="L23" s="2125"/>
      <c r="M23" s="2117"/>
      <c r="N23" s="2117"/>
      <c r="O23" s="2117"/>
      <c r="P23" s="3513"/>
      <c r="Q23" s="1558" t="str">
        <f>B23</f>
        <v>环境质量</v>
      </c>
      <c r="R23" s="1559" t="s">
        <v>8</v>
      </c>
      <c r="S23" s="1560">
        <f>F23</f>
        <v>100</v>
      </c>
      <c r="T23" s="1559" t="s">
        <v>8</v>
      </c>
      <c r="U23" s="1560">
        <f>H23</f>
        <v>100</v>
      </c>
      <c r="V23" s="1559" t="s">
        <v>8</v>
      </c>
      <c r="W23" s="1560">
        <f>J23</f>
        <v>100</v>
      </c>
      <c r="X23" s="1553"/>
      <c r="Y23" s="3513"/>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9"/>
      <c r="L24" s="2125"/>
      <c r="M24" s="2117"/>
      <c r="N24" s="2117"/>
      <c r="O24" s="2117"/>
      <c r="P24" s="3513"/>
      <c r="Q24" s="1558"/>
      <c r="R24" s="1559"/>
      <c r="S24" s="1560"/>
      <c r="T24" s="1559"/>
      <c r="U24" s="1560"/>
      <c r="V24" s="1559"/>
      <c r="W24" s="1560"/>
      <c r="X24" s="1553"/>
      <c r="Y24" s="3513"/>
      <c r="Z24" s="1561"/>
      <c r="AA24" s="1562">
        <v>1</v>
      </c>
      <c r="AB24" s="1562">
        <v>1</v>
      </c>
      <c r="AC24" s="1562">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5"/>
      <c r="M25" s="2117"/>
      <c r="N25" s="2117"/>
      <c r="O25" s="2117"/>
      <c r="P25" s="3513"/>
      <c r="Q25" s="1558" t="str">
        <f>B25</f>
        <v>毗邻道路的类型与等级</v>
      </c>
      <c r="R25" s="1559" t="s">
        <v>8</v>
      </c>
      <c r="S25" s="1560">
        <f>F25</f>
        <v>100</v>
      </c>
      <c r="T25" s="1559" t="s">
        <v>8</v>
      </c>
      <c r="U25" s="1560">
        <f>H25</f>
        <v>100</v>
      </c>
      <c r="V25" s="1559" t="s">
        <v>8</v>
      </c>
      <c r="W25" s="1560">
        <f>J25</f>
        <v>100</v>
      </c>
      <c r="X25" s="1553"/>
      <c r="Y25" s="3513"/>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9"/>
      <c r="L26" s="2125"/>
      <c r="M26" s="2117"/>
      <c r="N26" s="2117"/>
      <c r="O26" s="2117"/>
      <c r="P26" s="3513"/>
      <c r="Q26" s="1558"/>
      <c r="R26" s="1559"/>
      <c r="S26" s="1560"/>
      <c r="T26" s="1559"/>
      <c r="U26" s="1560"/>
      <c r="V26" s="1559"/>
      <c r="W26" s="1560"/>
      <c r="X26" s="1553"/>
      <c r="Y26" s="3513"/>
      <c r="Z26" s="1561"/>
      <c r="AA26" s="1562">
        <v>1</v>
      </c>
      <c r="AB26" s="1562">
        <v>1</v>
      </c>
      <c r="AC26" s="156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5"/>
      <c r="M27" s="2117"/>
      <c r="N27" s="2117"/>
      <c r="O27" s="2117"/>
      <c r="P27" s="3513"/>
      <c r="Q27" s="1558" t="str">
        <f t="shared" ref="Q27:Q47" si="11">B27</f>
        <v>楼层</v>
      </c>
      <c r="R27" s="1559" t="s">
        <v>8</v>
      </c>
      <c r="S27" s="1560">
        <f>F27</f>
        <v>100</v>
      </c>
      <c r="T27" s="1559" t="s">
        <v>8</v>
      </c>
      <c r="U27" s="1560">
        <f>H27</f>
        <v>100</v>
      </c>
      <c r="V27" s="1559" t="s">
        <v>8</v>
      </c>
      <c r="W27" s="1560">
        <f>J27</f>
        <v>100</v>
      </c>
      <c r="X27" s="1553"/>
      <c r="Y27" s="3513"/>
      <c r="Z27" s="1561" t="str">
        <f>Q27</f>
        <v>楼层</v>
      </c>
      <c r="AA27" s="1562">
        <f t="shared" si="3"/>
        <v>1</v>
      </c>
      <c r="AB27" s="1562">
        <f t="shared" si="4"/>
        <v>1</v>
      </c>
      <c r="AC27" s="1562">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18"/>
      <c r="M28" s="2119"/>
      <c r="N28" s="2119"/>
      <c r="O28" s="2119"/>
      <c r="P28" s="3513"/>
      <c r="Q28" s="1147" t="str">
        <f t="shared" si="11"/>
        <v>朝向</v>
      </c>
      <c r="R28" s="1554" t="s">
        <v>8</v>
      </c>
      <c r="S28" s="1555">
        <f>F28</f>
        <v>100</v>
      </c>
      <c r="T28" s="1554" t="s">
        <v>8</v>
      </c>
      <c r="U28" s="1555">
        <f>H28</f>
        <v>100</v>
      </c>
      <c r="V28" s="1554" t="s">
        <v>8</v>
      </c>
      <c r="W28" s="1555">
        <f>J28</f>
        <v>100</v>
      </c>
      <c r="X28" s="1556"/>
      <c r="Y28" s="3513"/>
      <c r="Z28" s="1146" t="str">
        <f>Q28</f>
        <v>朝向</v>
      </c>
      <c r="AA28" s="1562">
        <f>D28/F28</f>
        <v>1</v>
      </c>
      <c r="AB28" s="1562">
        <f>D28/H28</f>
        <v>1</v>
      </c>
      <c r="AC28" s="1562">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5"/>
      <c r="M29" s="2117"/>
      <c r="N29" s="2117"/>
      <c r="O29" s="2117"/>
      <c r="P29" s="3513"/>
      <c r="Q29" s="1558">
        <f t="shared" si="11"/>
        <v>111</v>
      </c>
      <c r="R29" s="1559" t="s">
        <v>8</v>
      </c>
      <c r="S29" s="1560">
        <f t="shared" ref="S29:S47" si="12">F29</f>
        <v>100</v>
      </c>
      <c r="T29" s="1559" t="s">
        <v>8</v>
      </c>
      <c r="U29" s="1560">
        <f t="shared" ref="U29:U47" si="13">H29</f>
        <v>100</v>
      </c>
      <c r="V29" s="1559" t="s">
        <v>8</v>
      </c>
      <c r="W29" s="1560">
        <f t="shared" ref="W29:W47" si="14">J29</f>
        <v>100</v>
      </c>
      <c r="X29" s="1553"/>
      <c r="Y29" s="3513"/>
      <c r="Z29" s="1561">
        <f t="shared" ref="Z29:Z47" si="15">Q29</f>
        <v>111</v>
      </c>
      <c r="AA29" s="1562">
        <f t="shared" si="3"/>
        <v>1</v>
      </c>
      <c r="AB29" s="1562">
        <f t="shared" si="4"/>
        <v>1</v>
      </c>
      <c r="AC29" s="1562">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5"/>
      <c r="M30" s="2117"/>
      <c r="N30" s="2117"/>
      <c r="O30" s="2117"/>
      <c r="P30" s="3513"/>
      <c r="Q30" s="1558">
        <f t="shared" si="11"/>
        <v>111</v>
      </c>
      <c r="R30" s="1559" t="s">
        <v>8</v>
      </c>
      <c r="S30" s="1560">
        <f t="shared" si="12"/>
        <v>100</v>
      </c>
      <c r="T30" s="1559" t="s">
        <v>8</v>
      </c>
      <c r="U30" s="1560">
        <f t="shared" si="13"/>
        <v>100</v>
      </c>
      <c r="V30" s="1559" t="s">
        <v>8</v>
      </c>
      <c r="W30" s="1560">
        <f t="shared" si="14"/>
        <v>100</v>
      </c>
      <c r="X30" s="1553"/>
      <c r="Y30" s="3513"/>
      <c r="Z30" s="1561">
        <f t="shared" si="15"/>
        <v>111</v>
      </c>
      <c r="AA30" s="1562">
        <f t="shared" si="3"/>
        <v>1</v>
      </c>
      <c r="AB30" s="1562">
        <f t="shared" si="4"/>
        <v>1</v>
      </c>
      <c r="AC30" s="1562">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5"/>
      <c r="M31" s="2117"/>
      <c r="N31" s="2117"/>
      <c r="O31" s="2117"/>
      <c r="P31" s="3513"/>
      <c r="Q31" s="1558">
        <f t="shared" si="11"/>
        <v>111</v>
      </c>
      <c r="R31" s="1559" t="s">
        <v>8</v>
      </c>
      <c r="S31" s="1560">
        <f t="shared" si="12"/>
        <v>100</v>
      </c>
      <c r="T31" s="1559" t="s">
        <v>8</v>
      </c>
      <c r="U31" s="1560">
        <f t="shared" si="13"/>
        <v>100</v>
      </c>
      <c r="V31" s="1559" t="s">
        <v>8</v>
      </c>
      <c r="W31" s="1560">
        <f t="shared" si="14"/>
        <v>100</v>
      </c>
      <c r="X31" s="1553"/>
      <c r="Y31" s="3513"/>
      <c r="Z31" s="1561">
        <f t="shared" si="15"/>
        <v>111</v>
      </c>
      <c r="AA31" s="1562">
        <f t="shared" si="3"/>
        <v>1</v>
      </c>
      <c r="AB31" s="1562">
        <f t="shared" si="4"/>
        <v>1</v>
      </c>
      <c r="AC31" s="1562">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5"/>
      <c r="M32" s="2117"/>
      <c r="N32" s="2117"/>
      <c r="O32" s="2117"/>
      <c r="P32" s="3513"/>
      <c r="Q32" s="1558">
        <f t="shared" si="11"/>
        <v>111</v>
      </c>
      <c r="R32" s="1559" t="s">
        <v>8</v>
      </c>
      <c r="S32" s="1560">
        <f t="shared" si="12"/>
        <v>100</v>
      </c>
      <c r="T32" s="1559" t="s">
        <v>8</v>
      </c>
      <c r="U32" s="1560">
        <f t="shared" si="13"/>
        <v>100</v>
      </c>
      <c r="V32" s="1559" t="s">
        <v>8</v>
      </c>
      <c r="W32" s="1560">
        <f t="shared" si="14"/>
        <v>100</v>
      </c>
      <c r="X32" s="1553"/>
      <c r="Y32" s="3513"/>
      <c r="Z32" s="1561">
        <f t="shared" si="15"/>
        <v>111</v>
      </c>
      <c r="AA32" s="1562">
        <f t="shared" si="3"/>
        <v>1</v>
      </c>
      <c r="AB32" s="1562">
        <f t="shared" si="4"/>
        <v>1</v>
      </c>
      <c r="AC32" s="1562">
        <f t="shared" si="5"/>
        <v>1</v>
      </c>
    </row>
    <row r="33" spans="1:29" ht="15">
      <c r="A33" s="2860" t="s">
        <v>2751</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5"/>
      <c r="M33" s="2117"/>
      <c r="N33" s="2117"/>
      <c r="O33" s="2117"/>
      <c r="P33" s="3514" t="s">
        <v>550</v>
      </c>
      <c r="Q33" s="1558" t="str">
        <f t="shared" si="11"/>
        <v>建筑类型</v>
      </c>
      <c r="R33" s="1559" t="s">
        <v>8</v>
      </c>
      <c r="S33" s="1560">
        <f t="shared" si="12"/>
        <v>100</v>
      </c>
      <c r="T33" s="1559" t="s">
        <v>8</v>
      </c>
      <c r="U33" s="1560">
        <f t="shared" si="13"/>
        <v>100</v>
      </c>
      <c r="V33" s="1559" t="s">
        <v>8</v>
      </c>
      <c r="W33" s="1560">
        <f t="shared" si="14"/>
        <v>100</v>
      </c>
      <c r="X33" s="1553"/>
      <c r="Y33" s="3515" t="s">
        <v>550</v>
      </c>
      <c r="Z33" s="1561" t="str">
        <f t="shared" si="15"/>
        <v>建筑类型</v>
      </c>
      <c r="AA33" s="1562">
        <f t="shared" si="3"/>
        <v>1</v>
      </c>
      <c r="AB33" s="1562">
        <f t="shared" si="4"/>
        <v>1</v>
      </c>
      <c r="AC33" s="1562">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3"/>
      <c r="M34" s="2154"/>
      <c r="N34" s="2154"/>
      <c r="O34" s="2154"/>
      <c r="P34" s="3515"/>
      <c r="Q34" s="1590" t="str">
        <f t="shared" si="11"/>
        <v>项目建筑规模</v>
      </c>
      <c r="R34" s="1563" t="s">
        <v>8</v>
      </c>
      <c r="S34" s="1564" t="e">
        <f t="shared" si="12"/>
        <v>#N/A</v>
      </c>
      <c r="T34" s="1563" t="s">
        <v>8</v>
      </c>
      <c r="U34" s="1564" t="e">
        <f t="shared" si="13"/>
        <v>#N/A</v>
      </c>
      <c r="V34" s="1563" t="s">
        <v>8</v>
      </c>
      <c r="W34" s="1564" t="e">
        <f t="shared" si="14"/>
        <v>#N/A</v>
      </c>
      <c r="X34" s="1565"/>
      <c r="Y34" s="3515"/>
      <c r="Z34" s="1566" t="str">
        <f t="shared" si="15"/>
        <v>项目建筑规模</v>
      </c>
      <c r="AA34" s="1562" t="e">
        <f t="shared" si="3"/>
        <v>#N/A</v>
      </c>
      <c r="AB34" s="1562" t="e">
        <f t="shared" si="4"/>
        <v>#N/A</v>
      </c>
      <c r="AC34" s="156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5"/>
      <c r="M35" s="2117"/>
      <c r="N35" s="2117"/>
      <c r="O35" s="2117"/>
      <c r="P35" s="3515"/>
      <c r="Q35" s="1558" t="str">
        <f t="shared" si="11"/>
        <v>建筑结构</v>
      </c>
      <c r="R35" s="1559" t="s">
        <v>8</v>
      </c>
      <c r="S35" s="1560">
        <f t="shared" si="12"/>
        <v>100</v>
      </c>
      <c r="T35" s="1559" t="s">
        <v>8</v>
      </c>
      <c r="U35" s="1560">
        <f t="shared" si="13"/>
        <v>100</v>
      </c>
      <c r="V35" s="1559" t="s">
        <v>8</v>
      </c>
      <c r="W35" s="1560">
        <f t="shared" si="14"/>
        <v>100</v>
      </c>
      <c r="X35" s="1553"/>
      <c r="Y35" s="3515"/>
      <c r="Z35" s="1561" t="str">
        <f t="shared" si="15"/>
        <v>建筑结构</v>
      </c>
      <c r="AA35" s="1562">
        <f t="shared" si="3"/>
        <v>1</v>
      </c>
      <c r="AB35" s="1562">
        <f t="shared" si="4"/>
        <v>1</v>
      </c>
      <c r="AC35" s="156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5"/>
      <c r="M36" s="2117"/>
      <c r="N36" s="2117"/>
      <c r="O36" s="2117"/>
      <c r="P36" s="3515"/>
      <c r="Q36" s="1558" t="str">
        <f t="shared" si="11"/>
        <v>公共部分装修</v>
      </c>
      <c r="R36" s="1559" t="s">
        <v>8</v>
      </c>
      <c r="S36" s="1560">
        <f t="shared" si="12"/>
        <v>100</v>
      </c>
      <c r="T36" s="1559" t="s">
        <v>8</v>
      </c>
      <c r="U36" s="1560">
        <f t="shared" si="13"/>
        <v>100</v>
      </c>
      <c r="V36" s="1559" t="s">
        <v>8</v>
      </c>
      <c r="W36" s="1560">
        <f t="shared" si="14"/>
        <v>100</v>
      </c>
      <c r="X36" s="1553"/>
      <c r="Y36" s="3515"/>
      <c r="Z36" s="1561" t="str">
        <f t="shared" si="15"/>
        <v>公共部分装修</v>
      </c>
      <c r="AA36" s="1562">
        <f t="shared" si="3"/>
        <v>1</v>
      </c>
      <c r="AB36" s="1562">
        <f t="shared" si="4"/>
        <v>1</v>
      </c>
      <c r="AC36" s="1562">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5"/>
      <c r="M37" s="2117"/>
      <c r="N37" s="2117"/>
      <c r="O37" s="2117"/>
      <c r="P37" s="3515"/>
      <c r="Q37" s="1558" t="str">
        <f t="shared" si="11"/>
        <v>成新度</v>
      </c>
      <c r="R37" s="1559" t="s">
        <v>8</v>
      </c>
      <c r="S37" s="1560" t="e">
        <f t="shared" si="12"/>
        <v>#N/A</v>
      </c>
      <c r="T37" s="1559" t="s">
        <v>8</v>
      </c>
      <c r="U37" s="1560" t="e">
        <f t="shared" si="13"/>
        <v>#N/A</v>
      </c>
      <c r="V37" s="1559" t="s">
        <v>8</v>
      </c>
      <c r="W37" s="1560" t="e">
        <f t="shared" si="14"/>
        <v>#N/A</v>
      </c>
      <c r="X37" s="1553"/>
      <c r="Y37" s="3515"/>
      <c r="Z37" s="1561" t="str">
        <f t="shared" si="15"/>
        <v>成新度</v>
      </c>
      <c r="AA37" s="1562" t="e">
        <f t="shared" si="3"/>
        <v>#N/A</v>
      </c>
      <c r="AB37" s="1562" t="e">
        <f t="shared" si="4"/>
        <v>#N/A</v>
      </c>
      <c r="AC37" s="1562"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8"/>
      <c r="M38" s="2119"/>
      <c r="N38" s="2119"/>
      <c r="O38" s="2119"/>
      <c r="P38" s="3515"/>
      <c r="Q38" s="1147" t="str">
        <f t="shared" si="11"/>
        <v>写字楼等级</v>
      </c>
      <c r="R38" s="1554" t="s">
        <v>8</v>
      </c>
      <c r="S38" s="1555">
        <f t="shared" si="12"/>
        <v>100</v>
      </c>
      <c r="T38" s="1554" t="s">
        <v>8</v>
      </c>
      <c r="U38" s="1555">
        <f t="shared" si="13"/>
        <v>100</v>
      </c>
      <c r="V38" s="1554" t="s">
        <v>8</v>
      </c>
      <c r="W38" s="1555">
        <f t="shared" si="14"/>
        <v>100</v>
      </c>
      <c r="X38" s="1556"/>
      <c r="Y38" s="3515"/>
      <c r="Z38" s="1146" t="str">
        <f t="shared" si="15"/>
        <v>写字楼等级</v>
      </c>
      <c r="AA38" s="1557">
        <f t="shared" si="3"/>
        <v>1</v>
      </c>
      <c r="AB38" s="1557">
        <f t="shared" si="4"/>
        <v>1</v>
      </c>
      <c r="AC38" s="155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5"/>
      <c r="M39" s="2117"/>
      <c r="N39" s="2117"/>
      <c r="O39" s="2117"/>
      <c r="P39" s="3515" t="s">
        <v>550</v>
      </c>
      <c r="Q39" s="1558" t="str">
        <f t="shared" si="11"/>
        <v>物业管理</v>
      </c>
      <c r="R39" s="1559" t="s">
        <v>8</v>
      </c>
      <c r="S39" s="1560">
        <f t="shared" si="12"/>
        <v>100</v>
      </c>
      <c r="T39" s="1559" t="s">
        <v>8</v>
      </c>
      <c r="U39" s="1560">
        <f t="shared" si="13"/>
        <v>100</v>
      </c>
      <c r="V39" s="1559" t="s">
        <v>8</v>
      </c>
      <c r="W39" s="1560">
        <f t="shared" si="14"/>
        <v>100</v>
      </c>
      <c r="X39" s="1553"/>
      <c r="Y39" s="3515" t="s">
        <v>550</v>
      </c>
      <c r="Z39" s="1561" t="str">
        <f t="shared" si="15"/>
        <v>物业管理</v>
      </c>
      <c r="AA39" s="1562">
        <f t="shared" si="3"/>
        <v>1</v>
      </c>
      <c r="AB39" s="1562">
        <f t="shared" si="4"/>
        <v>1</v>
      </c>
      <c r="AC39" s="1562">
        <f t="shared" si="5"/>
        <v>1</v>
      </c>
    </row>
    <row r="40" spans="1:29" ht="15">
      <c r="A40" s="594"/>
      <c r="B40" s="1878"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5"/>
      <c r="M40" s="2117"/>
      <c r="N40" s="2117"/>
      <c r="O40" s="2117"/>
      <c r="P40" s="3515"/>
      <c r="Q40" s="1558" t="str">
        <f t="shared" si="11"/>
        <v>市政基础设施</v>
      </c>
      <c r="R40" s="1559" t="s">
        <v>8</v>
      </c>
      <c r="S40" s="1560">
        <f t="shared" si="12"/>
        <v>100</v>
      </c>
      <c r="T40" s="1559" t="s">
        <v>8</v>
      </c>
      <c r="U40" s="1560">
        <f t="shared" si="13"/>
        <v>100</v>
      </c>
      <c r="V40" s="1559" t="s">
        <v>8</v>
      </c>
      <c r="W40" s="1560">
        <f t="shared" si="14"/>
        <v>100</v>
      </c>
      <c r="X40" s="1553"/>
      <c r="Y40" s="3515"/>
      <c r="Z40" s="1561" t="str">
        <f t="shared" si="15"/>
        <v>市政基础设施</v>
      </c>
      <c r="AA40" s="1562">
        <f t="shared" si="3"/>
        <v>1</v>
      </c>
      <c r="AB40" s="1562">
        <f t="shared" si="4"/>
        <v>1</v>
      </c>
      <c r="AC40" s="156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5"/>
      <c r="M41" s="2117"/>
      <c r="N41" s="2117"/>
      <c r="O41" s="2117"/>
      <c r="P41" s="3515"/>
      <c r="Q41" s="1558" t="str">
        <f t="shared" si="11"/>
        <v>层高</v>
      </c>
      <c r="R41" s="1559" t="s">
        <v>8</v>
      </c>
      <c r="S41" s="1560">
        <f t="shared" si="12"/>
        <v>100</v>
      </c>
      <c r="T41" s="1559" t="s">
        <v>8</v>
      </c>
      <c r="U41" s="1560">
        <f t="shared" si="13"/>
        <v>100</v>
      </c>
      <c r="V41" s="1559" t="s">
        <v>8</v>
      </c>
      <c r="W41" s="1560">
        <f t="shared" si="14"/>
        <v>100</v>
      </c>
      <c r="X41" s="1553"/>
      <c r="Y41" s="3515"/>
      <c r="Z41" s="1561" t="str">
        <f t="shared" si="15"/>
        <v>层高</v>
      </c>
      <c r="AA41" s="1562">
        <f t="shared" si="3"/>
        <v>1</v>
      </c>
      <c r="AB41" s="1562">
        <f t="shared" si="4"/>
        <v>1</v>
      </c>
      <c r="AC41" s="1562">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3"/>
      <c r="M42" s="2154"/>
      <c r="N42" s="2154"/>
      <c r="O42" s="2154"/>
      <c r="P42" s="3515"/>
      <c r="Q42" s="1590" t="str">
        <f t="shared" si="11"/>
        <v>单套建筑面积</v>
      </c>
      <c r="R42" s="1563" t="s">
        <v>8</v>
      </c>
      <c r="S42" s="1564">
        <f t="shared" si="12"/>
        <v>100</v>
      </c>
      <c r="T42" s="1563" t="s">
        <v>8</v>
      </c>
      <c r="U42" s="1564">
        <f t="shared" si="13"/>
        <v>100</v>
      </c>
      <c r="V42" s="1563" t="s">
        <v>8</v>
      </c>
      <c r="W42" s="1564">
        <f t="shared" si="14"/>
        <v>100</v>
      </c>
      <c r="X42" s="1565"/>
      <c r="Y42" s="3515"/>
      <c r="Z42" s="1566" t="str">
        <f t="shared" si="15"/>
        <v>单套建筑面积</v>
      </c>
      <c r="AA42" s="1562">
        <f t="shared" si="3"/>
        <v>1</v>
      </c>
      <c r="AB42" s="1562">
        <f t="shared" si="4"/>
        <v>1</v>
      </c>
      <c r="AC42" s="156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5"/>
      <c r="M43" s="2117"/>
      <c r="N43" s="2117"/>
      <c r="O43" s="2117"/>
      <c r="P43" s="3515"/>
      <c r="Q43" s="1558" t="str">
        <f t="shared" si="11"/>
        <v>内部装修</v>
      </c>
      <c r="R43" s="1559" t="s">
        <v>8</v>
      </c>
      <c r="S43" s="1560">
        <f t="shared" si="12"/>
        <v>100</v>
      </c>
      <c r="T43" s="1559" t="s">
        <v>8</v>
      </c>
      <c r="U43" s="1560">
        <f t="shared" si="13"/>
        <v>100</v>
      </c>
      <c r="V43" s="1559" t="s">
        <v>8</v>
      </c>
      <c r="W43" s="1560">
        <f t="shared" si="14"/>
        <v>100</v>
      </c>
      <c r="X43" s="1553"/>
      <c r="Y43" s="3515"/>
      <c r="Z43" s="1561" t="str">
        <f t="shared" si="15"/>
        <v>内部装修</v>
      </c>
      <c r="AA43" s="1562">
        <f t="shared" si="3"/>
        <v>1</v>
      </c>
      <c r="AB43" s="1562">
        <f t="shared" si="4"/>
        <v>1</v>
      </c>
      <c r="AC43" s="1562">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5"/>
      <c r="M44" s="2117"/>
      <c r="N44" s="2117"/>
      <c r="O44" s="2117"/>
      <c r="P44" s="3515"/>
      <c r="Q44" s="1558" t="str">
        <f t="shared" si="11"/>
        <v>内部装修维护情况</v>
      </c>
      <c r="R44" s="1559" t="s">
        <v>8</v>
      </c>
      <c r="S44" s="1560">
        <f t="shared" si="12"/>
        <v>100</v>
      </c>
      <c r="T44" s="1559" t="s">
        <v>8</v>
      </c>
      <c r="U44" s="1560">
        <f t="shared" si="13"/>
        <v>100</v>
      </c>
      <c r="V44" s="1559" t="s">
        <v>8</v>
      </c>
      <c r="W44" s="1560">
        <f t="shared" si="14"/>
        <v>100</v>
      </c>
      <c r="X44" s="1553"/>
      <c r="Y44" s="3515"/>
      <c r="Z44" s="1561" t="str">
        <f t="shared" si="15"/>
        <v>内部装修维护情况</v>
      </c>
      <c r="AA44" s="1562">
        <f t="shared" si="3"/>
        <v>1</v>
      </c>
      <c r="AB44" s="1562">
        <f t="shared" si="4"/>
        <v>1</v>
      </c>
      <c r="AC44" s="1562">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18"/>
      <c r="M45" s="2119"/>
      <c r="N45" s="2119"/>
      <c r="O45" s="2119"/>
      <c r="P45" s="3515"/>
      <c r="Q45" s="1147">
        <f t="shared" si="11"/>
        <v>111</v>
      </c>
      <c r="R45" s="1554" t="s">
        <v>8</v>
      </c>
      <c r="S45" s="1555">
        <f t="shared" si="12"/>
        <v>100</v>
      </c>
      <c r="T45" s="1554" t="s">
        <v>8</v>
      </c>
      <c r="U45" s="1555">
        <f t="shared" si="13"/>
        <v>100</v>
      </c>
      <c r="V45" s="1554" t="s">
        <v>8</v>
      </c>
      <c r="W45" s="1555">
        <f t="shared" si="14"/>
        <v>100</v>
      </c>
      <c r="X45" s="1556"/>
      <c r="Y45" s="3515"/>
      <c r="Z45" s="1146">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5"/>
      <c r="M46" s="2117"/>
      <c r="N46" s="2117"/>
      <c r="O46" s="2117"/>
      <c r="P46" s="3515"/>
      <c r="Q46" s="1558">
        <f t="shared" si="11"/>
        <v>111</v>
      </c>
      <c r="R46" s="1559" t="s">
        <v>8</v>
      </c>
      <c r="S46" s="1560">
        <f t="shared" si="12"/>
        <v>100</v>
      </c>
      <c r="T46" s="1559" t="s">
        <v>8</v>
      </c>
      <c r="U46" s="1560">
        <f t="shared" si="13"/>
        <v>100</v>
      </c>
      <c r="V46" s="1559" t="s">
        <v>8</v>
      </c>
      <c r="W46" s="1560">
        <f t="shared" si="14"/>
        <v>100</v>
      </c>
      <c r="X46" s="1553"/>
      <c r="Y46" s="3515"/>
      <c r="Z46" s="1561">
        <f t="shared" si="15"/>
        <v>111</v>
      </c>
      <c r="AA46" s="1562">
        <f t="shared" si="3"/>
        <v>1</v>
      </c>
      <c r="AB46" s="1562">
        <f t="shared" si="4"/>
        <v>1</v>
      </c>
      <c r="AC46" s="1562">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5"/>
      <c r="M47" s="2117"/>
      <c r="N47" s="2117"/>
      <c r="O47" s="2117"/>
      <c r="P47" s="3594"/>
      <c r="Q47" s="1558">
        <f t="shared" si="11"/>
        <v>111</v>
      </c>
      <c r="R47" s="1559" t="s">
        <v>8</v>
      </c>
      <c r="S47" s="1560">
        <f t="shared" si="12"/>
        <v>100</v>
      </c>
      <c r="T47" s="1559" t="s">
        <v>8</v>
      </c>
      <c r="U47" s="1560">
        <f t="shared" si="13"/>
        <v>100</v>
      </c>
      <c r="V47" s="1559" t="s">
        <v>8</v>
      </c>
      <c r="W47" s="1560">
        <f t="shared" si="14"/>
        <v>100</v>
      </c>
      <c r="X47" s="1553"/>
      <c r="Y47" s="3594"/>
      <c r="Z47" s="1561">
        <f t="shared" si="15"/>
        <v>111</v>
      </c>
      <c r="AA47" s="1562">
        <f t="shared" si="3"/>
        <v>1</v>
      </c>
      <c r="AB47" s="1562">
        <f t="shared" si="4"/>
        <v>1</v>
      </c>
      <c r="AC47" s="1562">
        <f t="shared" si="5"/>
        <v>1</v>
      </c>
    </row>
    <row r="48" spans="1:29" ht="14.4">
      <c r="A48" s="607" t="s">
        <v>736</v>
      </c>
      <c r="B48" s="887"/>
      <c r="C48" s="2589" t="s">
        <v>1</v>
      </c>
      <c r="D48" s="2590"/>
      <c r="E48" s="2591"/>
      <c r="F48" s="2592"/>
      <c r="G48" s="2593"/>
      <c r="H48" s="2594"/>
      <c r="I48" s="2591"/>
      <c r="J48" s="2594"/>
      <c r="K48" s="1596"/>
      <c r="L48" s="2127"/>
      <c r="M48" s="2117"/>
      <c r="N48" s="2117"/>
      <c r="O48" s="2117"/>
      <c r="P48" s="3532" t="str">
        <f>A48</f>
        <v>成交单价（元/平方米）</v>
      </c>
      <c r="Q48" s="3510"/>
      <c r="R48" s="3593">
        <f>E48</f>
        <v>0</v>
      </c>
      <c r="S48" s="3593"/>
      <c r="T48" s="3593">
        <f>G48</f>
        <v>0</v>
      </c>
      <c r="U48" s="3593"/>
      <c r="V48" s="3593">
        <f>I48</f>
        <v>0</v>
      </c>
      <c r="W48" s="3593"/>
      <c r="X48" s="1545"/>
      <c r="Y48" s="1567"/>
      <c r="Z48" s="1545"/>
      <c r="AA48" s="1545"/>
      <c r="AB48" s="1545"/>
      <c r="AC48" s="1545"/>
    </row>
    <row r="49" spans="1:29" ht="15" thickBot="1">
      <c r="A49" s="615" t="s">
        <v>2756</v>
      </c>
      <c r="B49" s="888"/>
      <c r="C49" s="2595" t="e">
        <f>R50</f>
        <v>#DIV/0!</v>
      </c>
      <c r="D49" s="2596"/>
      <c r="E49" s="2597" t="e">
        <f>R49</f>
        <v>#DIV/0!</v>
      </c>
      <c r="F49" s="2597"/>
      <c r="G49" s="2595" t="e">
        <f>T49</f>
        <v>#DIV/0!</v>
      </c>
      <c r="H49" s="2596"/>
      <c r="I49" s="2597" t="e">
        <f>V49</f>
        <v>#DIV/0!</v>
      </c>
      <c r="J49" s="2596"/>
      <c r="K49" s="1597"/>
      <c r="L49" s="2127"/>
      <c r="M49" s="2117"/>
      <c r="N49" s="2117"/>
      <c r="O49" s="2117"/>
      <c r="P49" s="3532" t="str">
        <f>A49</f>
        <v>比较价格（元/平方米）</v>
      </c>
      <c r="Q49" s="3510"/>
      <c r="R49" s="3593" t="e">
        <f>IF(F1="售价",ROUND(PRODUCT(R48,AA7:AA47),0),ROUND(PRODUCT(R48,AA7:AA47),1))</f>
        <v>#DIV/0!</v>
      </c>
      <c r="S49" s="3593"/>
      <c r="T49" s="3593" t="e">
        <f>IF(F1="售价",ROUND(PRODUCT(T48,AB7:AB47),0),ROUND(PRODUCT(T48,AB7:AB47),1))</f>
        <v>#DIV/0!</v>
      </c>
      <c r="U49" s="3593"/>
      <c r="V49" s="3593" t="e">
        <f>IF(F1="售价",ROUND(PRODUCT(V48,AC7:AC47),0),ROUND(PRODUCT(V48,AC7:AC47),1))</f>
        <v>#DIV/0!</v>
      </c>
      <c r="W49" s="3593"/>
      <c r="X49" s="1545"/>
      <c r="Y49" s="1545"/>
      <c r="Z49" s="1545"/>
      <c r="AA49" s="1545"/>
      <c r="AB49" s="1545"/>
      <c r="AC49" s="1545"/>
    </row>
    <row r="50" spans="1:29" ht="15" thickBot="1">
      <c r="A50" s="621" t="s">
        <v>2929</v>
      </c>
      <c r="B50" s="622"/>
      <c r="C50" s="2598" t="e">
        <f>R50</f>
        <v>#DIV/0!</v>
      </c>
      <c r="D50" s="2598"/>
      <c r="E50" s="2598"/>
      <c r="F50" s="2598"/>
      <c r="G50" s="2598"/>
      <c r="H50" s="2598"/>
      <c r="I50" s="2598"/>
      <c r="J50" s="2598"/>
      <c r="K50" s="1598"/>
      <c r="L50" s="2127"/>
      <c r="M50" s="2117"/>
      <c r="N50" s="2117"/>
      <c r="O50" s="2117"/>
      <c r="P50" s="3621" t="str">
        <f>A50</f>
        <v>估价对象XX用房的比较价格（楼面单价，元/平方米）</v>
      </c>
      <c r="Q50" s="3532"/>
      <c r="R50" s="3592" t="e">
        <f>IF(F1="售价",ROUND(AVERAGE(R49:V49),0),ROUND(AVERAGE(R49:V49),1))</f>
        <v>#DIV/0!</v>
      </c>
      <c r="S50" s="3592"/>
      <c r="T50" s="3592"/>
      <c r="U50" s="3592"/>
      <c r="V50" s="3592"/>
      <c r="W50" s="3592"/>
      <c r="X50" s="1545"/>
      <c r="Y50" s="1545"/>
      <c r="Z50" s="1545"/>
      <c r="AA50" s="1545"/>
      <c r="AB50" s="1545"/>
      <c r="AC50" s="1545"/>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41" customFormat="1" ht="13.5" customHeight="1">
      <c r="A55" s="2129"/>
      <c r="B55" s="2129"/>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41"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2.2" thickBot="1">
      <c r="A58" s="1570" t="s">
        <v>574</v>
      </c>
      <c r="B58" s="1545"/>
      <c r="C58" s="1569"/>
      <c r="D58" s="1569"/>
      <c r="E58" s="1569"/>
      <c r="F58" s="1571"/>
      <c r="G58" s="1571"/>
      <c r="H58" s="1569"/>
      <c r="I58" s="1569"/>
      <c r="J58" s="1569"/>
      <c r="K58" s="1572"/>
      <c r="L58" s="1568"/>
      <c r="M58" s="1569"/>
      <c r="N58" s="1569"/>
      <c r="O58" s="1569"/>
      <c r="P58" s="2193"/>
      <c r="Q58" s="2141"/>
      <c r="R58" s="2128"/>
      <c r="S58" s="2128"/>
      <c r="T58" s="2128"/>
      <c r="U58" s="2128"/>
      <c r="V58" s="2128"/>
      <c r="W58" s="2128"/>
      <c r="X58" s="2128"/>
      <c r="Y58" s="2128"/>
      <c r="Z58" s="2128"/>
      <c r="AA58" s="2128"/>
      <c r="AB58" s="2128"/>
      <c r="AC58" s="2128"/>
    </row>
    <row r="59" spans="1:29" s="1343" customFormat="1" ht="14.4">
      <c r="A59" s="645" t="s">
        <v>529</v>
      </c>
      <c r="B59" s="646"/>
      <c r="C59" s="2755" t="str">
        <f>YEAR(C7)&amp;"-"&amp;MONTH(C7)</f>
        <v>2020-2</v>
      </c>
      <c r="D59" s="2757">
        <f>EDATE(C59,-1)</f>
        <v>43831</v>
      </c>
      <c r="E59" s="2757">
        <f t="shared" ref="E59:O59" si="16">EDATE(D59,-1)</f>
        <v>43800</v>
      </c>
      <c r="F59" s="2757">
        <f t="shared" si="16"/>
        <v>43770</v>
      </c>
      <c r="G59" s="2757">
        <f t="shared" si="16"/>
        <v>43739</v>
      </c>
      <c r="H59" s="2757">
        <f t="shared" si="16"/>
        <v>43709</v>
      </c>
      <c r="I59" s="2757">
        <f t="shared" si="16"/>
        <v>43678</v>
      </c>
      <c r="J59" s="2757">
        <f t="shared" si="16"/>
        <v>43647</v>
      </c>
      <c r="K59" s="2757">
        <f t="shared" si="16"/>
        <v>43617</v>
      </c>
      <c r="L59" s="2757">
        <f t="shared" si="16"/>
        <v>43586</v>
      </c>
      <c r="M59" s="2757">
        <f t="shared" si="16"/>
        <v>43556</v>
      </c>
      <c r="N59" s="2757">
        <f t="shared" si="16"/>
        <v>43525</v>
      </c>
      <c r="O59" s="2757">
        <f t="shared" si="16"/>
        <v>43497</v>
      </c>
      <c r="P59" s="2194"/>
      <c r="Q59" s="2144"/>
      <c r="R59" s="2144"/>
      <c r="S59" s="2144"/>
      <c r="T59" s="2144"/>
      <c r="U59" s="2144"/>
      <c r="V59" s="2144"/>
      <c r="W59" s="2144"/>
      <c r="X59" s="2144"/>
      <c r="Y59" s="2144"/>
      <c r="Z59" s="2144"/>
      <c r="AA59" s="2144"/>
      <c r="AB59" s="2144"/>
      <c r="AC59" s="2144"/>
    </row>
    <row r="60" spans="1:29" s="1216" customFormat="1">
      <c r="A60" s="647"/>
      <c r="B60" s="648"/>
      <c r="C60" s="649">
        <v>100</v>
      </c>
      <c r="D60" s="650"/>
      <c r="E60" s="650"/>
      <c r="F60" s="650"/>
      <c r="G60" s="650"/>
      <c r="H60" s="650"/>
      <c r="I60" s="650"/>
      <c r="J60" s="650"/>
      <c r="K60" s="650"/>
      <c r="L60" s="650"/>
      <c r="M60" s="651"/>
      <c r="N60" s="650"/>
      <c r="O60" s="651"/>
      <c r="P60" s="2195"/>
      <c r="Q60" s="1976"/>
      <c r="R60" s="1976"/>
      <c r="S60" s="1976"/>
      <c r="T60" s="1976"/>
      <c r="U60" s="1976"/>
      <c r="V60" s="1976"/>
      <c r="W60" s="1976"/>
      <c r="X60" s="1976"/>
      <c r="Y60" s="1976"/>
      <c r="Z60" s="1976"/>
      <c r="AA60" s="1976"/>
      <c r="AB60" s="1976"/>
      <c r="AC60" s="1976"/>
    </row>
    <row r="61" spans="1:29" s="1216" customFormat="1" ht="15" thickBot="1">
      <c r="A61" s="653" t="s">
        <v>575</v>
      </c>
      <c r="B61" s="654"/>
      <c r="C61" s="655"/>
      <c r="D61" s="656"/>
      <c r="E61" s="656"/>
      <c r="F61" s="656"/>
      <c r="G61" s="656"/>
      <c r="H61" s="656"/>
      <c r="I61" s="656"/>
      <c r="J61" s="656"/>
      <c r="K61" s="656"/>
      <c r="L61" s="656"/>
      <c r="M61" s="657"/>
      <c r="N61" s="656"/>
      <c r="O61" s="657"/>
      <c r="P61" s="2195"/>
      <c r="Q61" s="2141"/>
      <c r="R61" s="1976"/>
      <c r="S61" s="1976"/>
      <c r="T61" s="1976"/>
      <c r="U61" s="1976"/>
      <c r="V61" s="1976"/>
      <c r="W61" s="1976"/>
      <c r="X61" s="1976"/>
      <c r="Y61" s="1976"/>
      <c r="Z61" s="1976"/>
      <c r="AA61" s="1976"/>
      <c r="AB61" s="1976"/>
      <c r="AC61" s="1976"/>
    </row>
    <row r="62" spans="1:29" s="1216" customFormat="1" ht="14.4">
      <c r="A62" s="659" t="s">
        <v>531</v>
      </c>
      <c r="B62" s="648"/>
      <c r="C62" s="660" t="s">
        <v>576</v>
      </c>
      <c r="D62" s="661"/>
      <c r="E62" s="661"/>
      <c r="F62" s="661"/>
      <c r="G62" s="661"/>
      <c r="H62" s="661"/>
      <c r="I62" s="661"/>
      <c r="J62" s="661"/>
      <c r="K62" s="661"/>
      <c r="L62" s="662"/>
      <c r="M62" s="663"/>
      <c r="N62" s="2145"/>
      <c r="O62" s="2145"/>
      <c r="P62" s="2196"/>
      <c r="Q62" s="2141"/>
      <c r="R62" s="1976"/>
      <c r="S62" s="1976"/>
      <c r="T62" s="1976"/>
      <c r="U62" s="1976"/>
      <c r="V62" s="1976"/>
      <c r="W62" s="1976"/>
      <c r="X62" s="1976"/>
      <c r="Y62" s="1976"/>
      <c r="Z62" s="1976"/>
      <c r="AA62" s="1976"/>
      <c r="AB62" s="1976"/>
      <c r="AC62" s="1976"/>
    </row>
    <row r="63" spans="1:29" s="1216" customFormat="1" ht="14.4" thickBot="1">
      <c r="A63" s="659"/>
      <c r="B63" s="648"/>
      <c r="C63" s="889">
        <v>100</v>
      </c>
      <c r="D63" s="650"/>
      <c r="E63" s="650"/>
      <c r="F63" s="650"/>
      <c r="G63" s="650"/>
      <c r="H63" s="650"/>
      <c r="I63" s="650"/>
      <c r="J63" s="650"/>
      <c r="K63" s="650"/>
      <c r="L63" s="650"/>
      <c r="M63" s="652"/>
      <c r="N63" s="2145"/>
      <c r="O63" s="2145"/>
      <c r="P63" s="2195"/>
      <c r="Q63" s="2141"/>
      <c r="R63" s="1976"/>
      <c r="S63" s="1976"/>
      <c r="T63" s="1976"/>
      <c r="U63" s="1976"/>
      <c r="V63" s="1976"/>
      <c r="W63" s="1976"/>
      <c r="X63" s="1976"/>
      <c r="Y63" s="1976"/>
      <c r="Z63" s="1976"/>
      <c r="AA63" s="1976"/>
      <c r="AB63" s="1976"/>
      <c r="AC63" s="1976"/>
    </row>
    <row r="64" spans="1:29" ht="14.4">
      <c r="A64" s="664" t="s">
        <v>577</v>
      </c>
      <c r="B64" s="665" t="s">
        <v>534</v>
      </c>
      <c r="C64" s="704">
        <f>C9</f>
        <v>0</v>
      </c>
      <c r="D64" s="598"/>
      <c r="E64" s="598"/>
      <c r="F64" s="598"/>
      <c r="G64" s="598"/>
      <c r="H64" s="598"/>
      <c r="I64" s="598"/>
      <c r="J64" s="598"/>
      <c r="K64" s="666"/>
      <c r="L64" s="667"/>
      <c r="M64" s="668"/>
      <c r="N64" s="2147"/>
      <c r="O64" s="2147"/>
      <c r="P64" s="2197"/>
      <c r="Q64" s="2141"/>
      <c r="R64" s="2128"/>
      <c r="S64" s="2128"/>
      <c r="T64" s="2128"/>
      <c r="U64" s="2128"/>
      <c r="V64" s="2128"/>
      <c r="W64" s="2128"/>
      <c r="X64" s="2128"/>
      <c r="Y64" s="2128"/>
      <c r="Z64" s="2128"/>
      <c r="AA64" s="2128"/>
      <c r="AB64" s="2128"/>
      <c r="AC64" s="2128"/>
    </row>
    <row r="65" spans="1:29" ht="14.4" thickBot="1">
      <c r="A65" s="669"/>
      <c r="B65" s="670"/>
      <c r="C65" s="671"/>
      <c r="D65" s="671"/>
      <c r="E65" s="671"/>
      <c r="F65" s="671"/>
      <c r="G65" s="671"/>
      <c r="H65" s="671"/>
      <c r="I65" s="671"/>
      <c r="J65" s="671"/>
      <c r="K65" s="671"/>
      <c r="L65" s="671"/>
      <c r="M65" s="672"/>
      <c r="N65" s="2149"/>
      <c r="O65" s="2149"/>
      <c r="P65" s="2197"/>
      <c r="Q65" s="2141"/>
      <c r="R65" s="2128"/>
      <c r="S65" s="2128"/>
      <c r="T65" s="2128"/>
      <c r="U65" s="2128"/>
      <c r="V65" s="2128"/>
      <c r="W65" s="2128"/>
      <c r="X65" s="2128"/>
      <c r="Y65" s="2128"/>
      <c r="Z65" s="2128"/>
      <c r="AA65" s="2128"/>
      <c r="AB65" s="2128"/>
      <c r="AC65" s="2128"/>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47"/>
      <c r="O66" s="2147"/>
      <c r="P66" s="2197"/>
      <c r="Q66" s="2141"/>
      <c r="R66" s="2128"/>
      <c r="S66" s="2128"/>
      <c r="T66" s="2128"/>
      <c r="U66" s="2128"/>
      <c r="V66" s="2128"/>
      <c r="W66" s="2128"/>
      <c r="X66" s="2128"/>
      <c r="Y66" s="2128"/>
      <c r="Z66" s="2128"/>
      <c r="AA66" s="2128"/>
      <c r="AB66" s="2128"/>
      <c r="AC66" s="2128"/>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49"/>
      <c r="O67" s="2149"/>
      <c r="P67" s="2197"/>
      <c r="Q67" s="2141"/>
      <c r="R67" s="2128"/>
      <c r="S67" s="2128"/>
      <c r="T67" s="2128"/>
      <c r="U67" s="2128"/>
      <c r="V67" s="2128"/>
      <c r="W67" s="2128"/>
      <c r="X67" s="2128"/>
      <c r="Y67" s="2128"/>
      <c r="Z67" s="2128"/>
      <c r="AA67" s="2128"/>
      <c r="AB67" s="2128"/>
      <c r="AC67" s="2128"/>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49"/>
      <c r="O68" s="2149"/>
      <c r="P68" s="2197"/>
      <c r="Q68" s="2141"/>
      <c r="R68" s="2128"/>
      <c r="S68" s="2128"/>
      <c r="T68" s="2128"/>
      <c r="U68" s="2128"/>
      <c r="V68" s="2128"/>
      <c r="W68" s="2128"/>
      <c r="X68" s="2128"/>
      <c r="Y68" s="2128"/>
      <c r="Z68" s="2128"/>
      <c r="AA68" s="2128"/>
      <c r="AB68" s="2128"/>
      <c r="AC68" s="2128"/>
    </row>
    <row r="69" spans="1:29">
      <c r="A69" s="669"/>
      <c r="B69" s="683"/>
      <c r="C69" s="541"/>
      <c r="D69" s="541"/>
      <c r="E69" s="541"/>
      <c r="F69" s="541"/>
      <c r="G69" s="541"/>
      <c r="H69" s="541"/>
      <c r="I69" s="541"/>
      <c r="J69" s="541"/>
      <c r="K69" s="684"/>
      <c r="L69" s="685"/>
      <c r="M69" s="686"/>
      <c r="N69" s="2147"/>
      <c r="O69" s="2147"/>
      <c r="P69" s="2197"/>
      <c r="Q69" s="2141"/>
      <c r="R69" s="2128"/>
      <c r="S69" s="2128"/>
      <c r="T69" s="2128"/>
      <c r="U69" s="2128"/>
      <c r="V69" s="2128"/>
      <c r="W69" s="2128"/>
      <c r="X69" s="2128"/>
      <c r="Y69" s="2128"/>
      <c r="Z69" s="2128"/>
      <c r="AA69" s="2128"/>
      <c r="AB69" s="2128"/>
      <c r="AC69" s="2128"/>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49"/>
      <c r="O70" s="2149"/>
      <c r="P70" s="2197"/>
      <c r="Q70" s="2141"/>
      <c r="R70" s="2128"/>
      <c r="S70" s="2128"/>
      <c r="T70" s="2128"/>
      <c r="U70" s="2128"/>
      <c r="V70" s="2128"/>
      <c r="W70" s="2128"/>
      <c r="X70" s="2128"/>
      <c r="Y70" s="2128"/>
      <c r="Z70" s="2128"/>
      <c r="AA70" s="2128"/>
      <c r="AB70" s="2128"/>
      <c r="AC70" s="2128"/>
    </row>
    <row r="71" spans="1:29" s="1335" customFormat="1" ht="14.4" thickTop="1">
      <c r="A71" s="687"/>
      <c r="B71" s="673">
        <f>B12</f>
        <v>111</v>
      </c>
      <c r="C71" s="688"/>
      <c r="D71" s="688"/>
      <c r="E71" s="688"/>
      <c r="F71" s="688"/>
      <c r="G71" s="688"/>
      <c r="H71" s="689"/>
      <c r="I71" s="689"/>
      <c r="J71" s="689"/>
      <c r="K71" s="689"/>
      <c r="L71" s="690"/>
      <c r="M71" s="691"/>
      <c r="N71" s="2150"/>
      <c r="O71" s="2150"/>
      <c r="P71" s="2198"/>
      <c r="Q71" s="2152"/>
      <c r="R71" s="2153"/>
      <c r="S71" s="2153"/>
      <c r="T71" s="2153"/>
      <c r="U71" s="2153"/>
      <c r="V71" s="2153"/>
      <c r="W71" s="2153"/>
      <c r="X71" s="2153"/>
      <c r="Y71" s="2153"/>
      <c r="Z71" s="2153"/>
      <c r="AA71" s="2153"/>
      <c r="AB71" s="2153"/>
      <c r="AC71" s="2153"/>
    </row>
    <row r="72" spans="1:29" s="1335" customFormat="1" ht="14.4" thickBot="1">
      <c r="A72" s="687"/>
      <c r="B72" s="678"/>
      <c r="C72" s="692"/>
      <c r="D72" s="671"/>
      <c r="E72" s="671"/>
      <c r="F72" s="671"/>
      <c r="G72" s="671"/>
      <c r="H72" s="671"/>
      <c r="I72" s="671"/>
      <c r="J72" s="671"/>
      <c r="K72" s="671"/>
      <c r="L72" s="671"/>
      <c r="M72" s="672"/>
      <c r="N72" s="2149"/>
      <c r="O72" s="2149"/>
      <c r="P72" s="2198"/>
      <c r="Q72" s="2152"/>
      <c r="R72" s="2153"/>
      <c r="S72" s="2153"/>
      <c r="T72" s="2153"/>
      <c r="U72" s="2153"/>
      <c r="V72" s="2153"/>
      <c r="W72" s="2153"/>
      <c r="X72" s="2153"/>
      <c r="Y72" s="2153"/>
      <c r="Z72" s="2153"/>
      <c r="AA72" s="2153"/>
      <c r="AB72" s="2153"/>
      <c r="AC72" s="2153"/>
    </row>
    <row r="73" spans="1:29" s="1335" customFormat="1" ht="14.4" thickTop="1">
      <c r="A73" s="687"/>
      <c r="B73" s="673">
        <f>B13</f>
        <v>111</v>
      </c>
      <c r="C73" s="688"/>
      <c r="D73" s="688"/>
      <c r="E73" s="688"/>
      <c r="F73" s="688"/>
      <c r="G73" s="688"/>
      <c r="H73" s="689"/>
      <c r="I73" s="689"/>
      <c r="J73" s="689"/>
      <c r="K73" s="689"/>
      <c r="L73" s="690"/>
      <c r="M73" s="691"/>
      <c r="N73" s="2150"/>
      <c r="O73" s="2150"/>
      <c r="P73" s="2199"/>
      <c r="Q73" s="2155"/>
      <c r="R73" s="2153"/>
      <c r="S73" s="2153"/>
      <c r="T73" s="2153"/>
      <c r="U73" s="2153"/>
      <c r="V73" s="2153"/>
      <c r="W73" s="2153"/>
      <c r="X73" s="2153"/>
      <c r="Y73" s="2153"/>
      <c r="Z73" s="2153"/>
      <c r="AA73" s="2153"/>
      <c r="AB73" s="2153"/>
      <c r="AC73" s="2153"/>
    </row>
    <row r="74" spans="1:29" s="1335" customFormat="1" ht="14.4" thickBot="1">
      <c r="A74" s="687"/>
      <c r="B74" s="678"/>
      <c r="C74" s="692"/>
      <c r="D74" s="692"/>
      <c r="E74" s="692"/>
      <c r="F74" s="692"/>
      <c r="G74" s="692"/>
      <c r="H74" s="693"/>
      <c r="I74" s="693"/>
      <c r="J74" s="693"/>
      <c r="K74" s="693"/>
      <c r="L74" s="693"/>
      <c r="M74" s="694"/>
      <c r="N74" s="2150"/>
      <c r="O74" s="2150"/>
      <c r="P74" s="2198"/>
      <c r="Q74" s="2152"/>
      <c r="R74" s="2153"/>
      <c r="S74" s="2153"/>
      <c r="T74" s="2153"/>
      <c r="U74" s="2153"/>
      <c r="V74" s="2153"/>
      <c r="W74" s="2153"/>
      <c r="X74" s="2153"/>
      <c r="Y74" s="2153"/>
      <c r="Z74" s="2153"/>
      <c r="AA74" s="2153"/>
      <c r="AB74" s="2153"/>
      <c r="AC74" s="2153"/>
    </row>
    <row r="75" spans="1:29" s="1335" customFormat="1" ht="14.4" thickTop="1">
      <c r="A75" s="687"/>
      <c r="B75" s="681">
        <f>B14</f>
        <v>111</v>
      </c>
      <c r="C75" s="661"/>
      <c r="D75" s="661"/>
      <c r="E75" s="661"/>
      <c r="F75" s="661"/>
      <c r="G75" s="661"/>
      <c r="H75" s="695"/>
      <c r="I75" s="695"/>
      <c r="J75" s="695"/>
      <c r="K75" s="695"/>
      <c r="L75" s="696"/>
      <c r="M75" s="697"/>
      <c r="N75" s="2150"/>
      <c r="O75" s="2150"/>
      <c r="P75" s="2200"/>
      <c r="Q75" s="2152"/>
      <c r="R75" s="2153"/>
      <c r="S75" s="2153"/>
      <c r="T75" s="2153"/>
      <c r="U75" s="2153"/>
      <c r="V75" s="2153"/>
      <c r="W75" s="2153"/>
      <c r="X75" s="2153"/>
      <c r="Y75" s="2153"/>
      <c r="Z75" s="2153"/>
      <c r="AA75" s="2153"/>
      <c r="AB75" s="2153"/>
      <c r="AC75" s="2153"/>
    </row>
    <row r="76" spans="1:29" s="1335" customFormat="1" ht="14.4" thickBot="1">
      <c r="A76" s="698"/>
      <c r="B76" s="699"/>
      <c r="C76" s="700"/>
      <c r="D76" s="700"/>
      <c r="E76" s="700"/>
      <c r="F76" s="700"/>
      <c r="G76" s="700"/>
      <c r="H76" s="701"/>
      <c r="I76" s="701"/>
      <c r="J76" s="701"/>
      <c r="K76" s="701"/>
      <c r="L76" s="701"/>
      <c r="M76" s="702"/>
      <c r="N76" s="2150"/>
      <c r="O76" s="2150"/>
      <c r="P76" s="2198"/>
      <c r="Q76" s="2152"/>
      <c r="R76" s="2153"/>
      <c r="S76" s="2153"/>
      <c r="T76" s="2153"/>
      <c r="U76" s="2153"/>
      <c r="V76" s="2153"/>
      <c r="W76" s="2153"/>
      <c r="X76" s="2153"/>
      <c r="Y76" s="2153"/>
      <c r="Z76" s="2153"/>
      <c r="AA76" s="2153"/>
      <c r="AB76" s="2153"/>
      <c r="AC76" s="2153"/>
    </row>
    <row r="77" spans="1:29" ht="14.4">
      <c r="A77" s="664" t="s">
        <v>539</v>
      </c>
      <c r="B77" s="665" t="s">
        <v>585</v>
      </c>
      <c r="C77" s="703" t="s">
        <v>579</v>
      </c>
      <c r="D77" s="703" t="s">
        <v>580</v>
      </c>
      <c r="E77" s="703" t="s">
        <v>581</v>
      </c>
      <c r="F77" s="703" t="s">
        <v>582</v>
      </c>
      <c r="G77" s="703" t="s">
        <v>583</v>
      </c>
      <c r="H77" s="704"/>
      <c r="I77" s="704"/>
      <c r="J77" s="704"/>
      <c r="K77" s="705"/>
      <c r="L77" s="706"/>
      <c r="M77" s="707"/>
      <c r="N77" s="2147"/>
      <c r="O77" s="2147"/>
      <c r="P77" s="2201"/>
      <c r="Q77" s="2141"/>
      <c r="R77" s="2128"/>
      <c r="S77" s="2128"/>
      <c r="T77" s="2128"/>
      <c r="U77" s="2128"/>
      <c r="V77" s="2128"/>
      <c r="W77" s="2128"/>
      <c r="X77" s="2128"/>
      <c r="Y77" s="2128"/>
      <c r="Z77" s="2128"/>
      <c r="AA77" s="2128"/>
      <c r="AB77" s="2128"/>
      <c r="AC77" s="2128"/>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49"/>
      <c r="O78" s="2149"/>
      <c r="P78" s="2197"/>
      <c r="Q78" s="2141"/>
      <c r="R78" s="2128"/>
      <c r="S78" s="2128"/>
      <c r="T78" s="2128"/>
      <c r="U78" s="2128"/>
      <c r="V78" s="2128"/>
      <c r="W78" s="2128"/>
      <c r="X78" s="2128"/>
      <c r="Y78" s="2128"/>
      <c r="Z78" s="2128"/>
      <c r="AA78" s="2128"/>
      <c r="AB78" s="2128"/>
      <c r="AC78" s="2128"/>
    </row>
    <row r="79" spans="1:29" ht="15" thickTop="1">
      <c r="A79" s="669"/>
      <c r="B79" s="673" t="s">
        <v>586</v>
      </c>
      <c r="C79" s="708" t="s">
        <v>579</v>
      </c>
      <c r="D79" s="708" t="s">
        <v>580</v>
      </c>
      <c r="E79" s="708" t="s">
        <v>581</v>
      </c>
      <c r="F79" s="708" t="s">
        <v>582</v>
      </c>
      <c r="G79" s="708" t="s">
        <v>583</v>
      </c>
      <c r="H79" s="674"/>
      <c r="I79" s="674"/>
      <c r="J79" s="674"/>
      <c r="K79" s="675"/>
      <c r="L79" s="676"/>
      <c r="M79" s="677"/>
      <c r="N79" s="2147"/>
      <c r="O79" s="2147"/>
      <c r="P79" s="2197"/>
      <c r="Q79" s="2141"/>
      <c r="R79" s="2128"/>
      <c r="S79" s="2128"/>
      <c r="T79" s="2128"/>
      <c r="U79" s="2128"/>
      <c r="V79" s="2128"/>
      <c r="W79" s="2128"/>
      <c r="X79" s="2128"/>
      <c r="Y79" s="2128"/>
      <c r="Z79" s="2128"/>
      <c r="AA79" s="2128"/>
      <c r="AB79" s="2128"/>
      <c r="AC79" s="2128"/>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49"/>
      <c r="O80" s="2149"/>
      <c r="P80" s="2197"/>
      <c r="Q80" s="2141"/>
      <c r="R80" s="2128"/>
      <c r="S80" s="2128"/>
      <c r="T80" s="2128"/>
      <c r="U80" s="2128"/>
      <c r="V80" s="2128"/>
      <c r="W80" s="2128"/>
      <c r="X80" s="2128"/>
      <c r="Y80" s="2128"/>
      <c r="Z80" s="2128"/>
      <c r="AA80" s="2128"/>
      <c r="AB80" s="2128"/>
      <c r="AC80" s="2128"/>
    </row>
    <row r="81" spans="1:29" ht="15" thickTop="1">
      <c r="A81" s="669"/>
      <c r="B81" s="1879" t="s">
        <v>2554</v>
      </c>
      <c r="C81" s="708" t="s">
        <v>579</v>
      </c>
      <c r="D81" s="708" t="s">
        <v>580</v>
      </c>
      <c r="E81" s="708" t="s">
        <v>581</v>
      </c>
      <c r="F81" s="708" t="s">
        <v>582</v>
      </c>
      <c r="G81" s="708" t="s">
        <v>583</v>
      </c>
      <c r="H81" s="674"/>
      <c r="I81" s="674"/>
      <c r="J81" s="674"/>
      <c r="K81" s="675"/>
      <c r="L81" s="676"/>
      <c r="M81" s="677"/>
      <c r="N81" s="2147"/>
      <c r="O81" s="2147"/>
      <c r="P81" s="2197"/>
      <c r="Q81" s="2141"/>
      <c r="R81" s="2128"/>
      <c r="S81" s="2128"/>
      <c r="T81" s="2128"/>
      <c r="U81" s="2128"/>
      <c r="V81" s="2128"/>
      <c r="W81" s="2128"/>
      <c r="X81" s="2128"/>
      <c r="Y81" s="2128"/>
      <c r="Z81" s="2128"/>
      <c r="AA81" s="2128"/>
      <c r="AB81" s="2128"/>
      <c r="AC81" s="2128"/>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49"/>
      <c r="O82" s="2149"/>
      <c r="P82" s="2197"/>
      <c r="Q82" s="2141"/>
      <c r="R82" s="2128"/>
      <c r="S82" s="2128"/>
      <c r="T82" s="2128"/>
      <c r="U82" s="2128"/>
      <c r="V82" s="2128"/>
      <c r="W82" s="2128"/>
      <c r="X82" s="2128"/>
      <c r="Y82" s="2128"/>
      <c r="Z82" s="2128"/>
      <c r="AA82" s="2128"/>
      <c r="AB82" s="2128"/>
      <c r="AC82" s="2128"/>
    </row>
    <row r="83" spans="1:29" ht="15" thickTop="1">
      <c r="A83" s="669"/>
      <c r="B83" s="2559" t="s">
        <v>2555</v>
      </c>
      <c r="C83" s="2560" t="s">
        <v>2556</v>
      </c>
      <c r="D83" s="2560" t="s">
        <v>2557</v>
      </c>
      <c r="E83" s="2560" t="s">
        <v>2558</v>
      </c>
      <c r="F83" s="2560" t="s">
        <v>2559</v>
      </c>
      <c r="G83" s="2560" t="s">
        <v>2560</v>
      </c>
      <c r="H83" s="674"/>
      <c r="I83" s="674"/>
      <c r="J83" s="674"/>
      <c r="K83" s="674"/>
      <c r="L83" s="674"/>
      <c r="M83" s="2563"/>
      <c r="N83" s="2149"/>
      <c r="O83" s="2149"/>
      <c r="P83" s="2197"/>
      <c r="Q83" s="2141"/>
      <c r="R83" s="2128"/>
      <c r="S83" s="2128"/>
      <c r="T83" s="2128"/>
      <c r="U83" s="2128"/>
      <c r="V83" s="2128"/>
      <c r="W83" s="2128"/>
      <c r="X83" s="2128"/>
      <c r="Y83" s="2128"/>
      <c r="Z83" s="2128"/>
      <c r="AA83" s="2128"/>
      <c r="AB83" s="2128"/>
      <c r="AC83" s="2128"/>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49"/>
      <c r="O84" s="2149"/>
      <c r="P84" s="2197"/>
      <c r="Q84" s="2141"/>
      <c r="R84" s="2128"/>
      <c r="S84" s="2128"/>
      <c r="T84" s="2128"/>
      <c r="U84" s="2128"/>
      <c r="V84" s="2128"/>
      <c r="W84" s="2128"/>
      <c r="X84" s="2128"/>
      <c r="Y84" s="2128"/>
      <c r="Z84" s="2128"/>
      <c r="AA84" s="2128"/>
      <c r="AB84" s="2128"/>
      <c r="AC84" s="2128"/>
    </row>
    <row r="85" spans="1:29" ht="15" thickTop="1">
      <c r="A85" s="669"/>
      <c r="B85" s="673" t="s">
        <v>784</v>
      </c>
      <c r="C85" s="708" t="s">
        <v>579</v>
      </c>
      <c r="D85" s="708" t="s">
        <v>580</v>
      </c>
      <c r="E85" s="708" t="s">
        <v>581</v>
      </c>
      <c r="F85" s="708" t="s">
        <v>582</v>
      </c>
      <c r="G85" s="708" t="s">
        <v>583</v>
      </c>
      <c r="H85" s="674"/>
      <c r="I85" s="674"/>
      <c r="J85" s="674"/>
      <c r="K85" s="675"/>
      <c r="L85" s="676"/>
      <c r="M85" s="677"/>
      <c r="N85" s="2147"/>
      <c r="O85" s="2147"/>
      <c r="P85" s="2197"/>
      <c r="Q85" s="2141"/>
      <c r="R85" s="2128"/>
      <c r="S85" s="2128"/>
      <c r="T85" s="2128"/>
      <c r="U85" s="2128"/>
      <c r="V85" s="2128"/>
      <c r="W85" s="2128"/>
      <c r="X85" s="2128"/>
      <c r="Y85" s="2128"/>
      <c r="Z85" s="2128"/>
      <c r="AA85" s="2128"/>
      <c r="AB85" s="2128"/>
      <c r="AC85" s="2128"/>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49"/>
      <c r="O86" s="2149"/>
      <c r="P86" s="2197"/>
      <c r="Q86" s="2141"/>
      <c r="R86" s="2128"/>
      <c r="S86" s="2128"/>
      <c r="T86" s="2128"/>
      <c r="U86" s="2128"/>
      <c r="V86" s="2128"/>
      <c r="W86" s="2128"/>
      <c r="X86" s="2128"/>
      <c r="Y86" s="2128"/>
      <c r="Z86" s="2128"/>
      <c r="AA86" s="2128"/>
      <c r="AB86" s="2128"/>
      <c r="AC86" s="2128"/>
    </row>
    <row r="87" spans="1:29" s="1216" customFormat="1" ht="29.4" thickTop="1">
      <c r="A87" s="709"/>
      <c r="B87" s="673" t="s">
        <v>785</v>
      </c>
      <c r="C87" s="688"/>
      <c r="D87" s="688"/>
      <c r="E87" s="688"/>
      <c r="F87" s="688"/>
      <c r="G87" s="688"/>
      <c r="H87" s="688"/>
      <c r="I87" s="688"/>
      <c r="J87" s="688"/>
      <c r="K87" s="688"/>
      <c r="L87" s="890"/>
      <c r="M87" s="891"/>
      <c r="N87" s="2145"/>
      <c r="O87" s="2145"/>
      <c r="P87" s="2197"/>
      <c r="Q87" s="2141"/>
      <c r="R87" s="1976"/>
      <c r="S87" s="1976"/>
      <c r="T87" s="1976"/>
      <c r="U87" s="1976"/>
      <c r="V87" s="1976"/>
      <c r="W87" s="1976"/>
      <c r="X87" s="1976"/>
      <c r="Y87" s="1976"/>
      <c r="Z87" s="1976"/>
      <c r="AA87" s="1976"/>
      <c r="AB87" s="1976"/>
      <c r="AC87" s="1976"/>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49"/>
      <c r="O88" s="2149"/>
      <c r="P88" s="2197"/>
      <c r="Q88" s="2141"/>
      <c r="R88" s="1976"/>
      <c r="S88" s="1976"/>
      <c r="T88" s="1976"/>
      <c r="U88" s="1976"/>
      <c r="V88" s="1976"/>
      <c r="W88" s="1976"/>
      <c r="X88" s="1976"/>
      <c r="Y88" s="1976"/>
      <c r="Z88" s="1976"/>
      <c r="AA88" s="1976"/>
      <c r="AB88" s="1976"/>
      <c r="AC88" s="1976"/>
    </row>
    <row r="89" spans="1:29" s="1216" customFormat="1" ht="14.4" thickTop="1">
      <c r="A89" s="709"/>
      <c r="B89" s="673" t="str">
        <f>B27</f>
        <v>楼层</v>
      </c>
      <c r="C89" s="688"/>
      <c r="D89" s="688"/>
      <c r="E89" s="688"/>
      <c r="F89" s="892"/>
      <c r="G89" s="688"/>
      <c r="H89" s="688"/>
      <c r="I89" s="688"/>
      <c r="J89" s="688"/>
      <c r="K89" s="688"/>
      <c r="L89" s="688"/>
      <c r="M89" s="891"/>
      <c r="N89" s="2145"/>
      <c r="O89" s="2145"/>
      <c r="P89" s="2197"/>
      <c r="Q89" s="2141"/>
      <c r="R89" s="1976"/>
      <c r="S89" s="1976"/>
      <c r="T89" s="1976"/>
      <c r="U89" s="1976"/>
      <c r="V89" s="1976"/>
      <c r="W89" s="1976"/>
      <c r="X89" s="1976"/>
      <c r="Y89" s="1976"/>
      <c r="Z89" s="1976"/>
      <c r="AA89" s="1976"/>
      <c r="AB89" s="1976"/>
      <c r="AC89" s="1976"/>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49"/>
      <c r="O90" s="2149"/>
      <c r="P90" s="2197"/>
      <c r="Q90" s="2141"/>
      <c r="R90" s="1976"/>
      <c r="S90" s="1976"/>
      <c r="T90" s="1976"/>
      <c r="U90" s="1976"/>
      <c r="V90" s="1976"/>
      <c r="W90" s="1976"/>
      <c r="X90" s="1976"/>
      <c r="Y90" s="1976"/>
      <c r="Z90" s="1976"/>
      <c r="AA90" s="1976"/>
      <c r="AB90" s="1976"/>
      <c r="AC90" s="1976"/>
    </row>
    <row r="91" spans="1:29" s="1335" customFormat="1" ht="14.4" thickTop="1">
      <c r="A91" s="687"/>
      <c r="B91" s="673" t="str">
        <f>B28</f>
        <v>朝向</v>
      </c>
      <c r="C91" s="688"/>
      <c r="D91" s="688"/>
      <c r="E91" s="688"/>
      <c r="F91" s="688"/>
      <c r="G91" s="688"/>
      <c r="H91" s="689"/>
      <c r="I91" s="689"/>
      <c r="J91" s="689"/>
      <c r="K91" s="689"/>
      <c r="L91" s="690"/>
      <c r="M91" s="691"/>
      <c r="N91" s="2150"/>
      <c r="O91" s="2150"/>
      <c r="P91" s="2198"/>
      <c r="Q91" s="2152"/>
      <c r="R91" s="2153"/>
      <c r="S91" s="2153"/>
      <c r="T91" s="2153"/>
      <c r="U91" s="2153"/>
      <c r="V91" s="2153"/>
      <c r="W91" s="2153"/>
      <c r="X91" s="2153"/>
      <c r="Y91" s="2153"/>
      <c r="Z91" s="2153"/>
      <c r="AA91" s="2153"/>
      <c r="AB91" s="2153"/>
      <c r="AC91" s="2153"/>
    </row>
    <row r="92" spans="1:29" s="1335"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0"/>
      <c r="O92" s="2150"/>
      <c r="P92" s="2198"/>
      <c r="Q92" s="2152"/>
      <c r="R92" s="2153"/>
      <c r="S92" s="2153"/>
      <c r="T92" s="2153"/>
      <c r="U92" s="2153"/>
      <c r="V92" s="2153"/>
      <c r="W92" s="2153"/>
      <c r="X92" s="2153"/>
      <c r="Y92" s="2153"/>
      <c r="Z92" s="2153"/>
      <c r="AA92" s="2153"/>
      <c r="AB92" s="2153"/>
      <c r="AC92" s="2153"/>
    </row>
    <row r="93" spans="1:29" ht="14.4" thickTop="1">
      <c r="A93" s="669"/>
      <c r="B93" s="673">
        <f>B29</f>
        <v>111</v>
      </c>
      <c r="C93" s="688"/>
      <c r="D93" s="688"/>
      <c r="E93" s="688"/>
      <c r="F93" s="688"/>
      <c r="G93" s="688"/>
      <c r="H93" s="688"/>
      <c r="I93" s="688"/>
      <c r="J93" s="688"/>
      <c r="K93" s="688"/>
      <c r="L93" s="890"/>
      <c r="M93" s="891"/>
      <c r="N93" s="2147"/>
      <c r="O93" s="2147"/>
      <c r="P93" s="2197"/>
      <c r="Q93" s="2141"/>
      <c r="R93" s="2128"/>
      <c r="S93" s="2128"/>
      <c r="T93" s="2128"/>
      <c r="U93" s="2128"/>
      <c r="V93" s="2128"/>
      <c r="W93" s="2128"/>
      <c r="X93" s="2128"/>
      <c r="Y93" s="2128"/>
      <c r="Z93" s="2128"/>
      <c r="AA93" s="2128"/>
      <c r="AB93" s="2128"/>
      <c r="AC93" s="2128"/>
    </row>
    <row r="94" spans="1:29" ht="14.4" thickBot="1">
      <c r="A94" s="669"/>
      <c r="B94" s="678"/>
      <c r="C94" s="692"/>
      <c r="D94" s="671"/>
      <c r="E94" s="671"/>
      <c r="F94" s="671"/>
      <c r="G94" s="671"/>
      <c r="H94" s="671"/>
      <c r="I94" s="671"/>
      <c r="J94" s="671"/>
      <c r="K94" s="671"/>
      <c r="L94" s="671"/>
      <c r="M94" s="672"/>
      <c r="N94" s="2149"/>
      <c r="O94" s="2149"/>
      <c r="P94" s="2197"/>
      <c r="Q94" s="2141"/>
      <c r="R94" s="2128"/>
      <c r="S94" s="2128"/>
      <c r="T94" s="2128"/>
      <c r="U94" s="2128"/>
      <c r="V94" s="2128"/>
      <c r="W94" s="2128"/>
      <c r="X94" s="2128"/>
      <c r="Y94" s="2128"/>
      <c r="Z94" s="2128"/>
      <c r="AA94" s="2128"/>
      <c r="AB94" s="2128"/>
      <c r="AC94" s="2128"/>
    </row>
    <row r="95" spans="1:29" ht="14.4" thickTop="1">
      <c r="A95" s="669"/>
      <c r="B95" s="673">
        <f>B30</f>
        <v>111</v>
      </c>
      <c r="C95" s="688"/>
      <c r="D95" s="688"/>
      <c r="E95" s="688"/>
      <c r="F95" s="688"/>
      <c r="G95" s="718"/>
      <c r="H95" s="718"/>
      <c r="I95" s="718"/>
      <c r="J95" s="718"/>
      <c r="K95" s="719"/>
      <c r="L95" s="720"/>
      <c r="M95" s="721"/>
      <c r="N95" s="2147"/>
      <c r="O95" s="2147"/>
      <c r="P95" s="2197"/>
      <c r="Q95" s="2141"/>
      <c r="R95" s="2128"/>
      <c r="S95" s="2128"/>
      <c r="T95" s="2128"/>
      <c r="U95" s="2128"/>
      <c r="V95" s="2128"/>
      <c r="W95" s="2128"/>
      <c r="X95" s="2128"/>
      <c r="Y95" s="2128"/>
      <c r="Z95" s="2128"/>
      <c r="AA95" s="2128"/>
      <c r="AB95" s="2128"/>
      <c r="AC95" s="2128"/>
    </row>
    <row r="96" spans="1:29" ht="14.4" thickBot="1">
      <c r="A96" s="669"/>
      <c r="B96" s="678"/>
      <c r="C96" s="692"/>
      <c r="D96" s="692"/>
      <c r="E96" s="692"/>
      <c r="F96" s="692"/>
      <c r="G96" s="671"/>
      <c r="H96" s="671"/>
      <c r="I96" s="671"/>
      <c r="J96" s="671"/>
      <c r="K96" s="671"/>
      <c r="L96" s="671"/>
      <c r="M96" s="672"/>
      <c r="N96" s="2149"/>
      <c r="O96" s="2149"/>
      <c r="P96" s="2197"/>
      <c r="Q96" s="2141"/>
      <c r="R96" s="2128"/>
      <c r="S96" s="2128"/>
      <c r="T96" s="2128"/>
      <c r="U96" s="2128"/>
      <c r="V96" s="2128"/>
      <c r="W96" s="2128"/>
      <c r="X96" s="2128"/>
      <c r="Y96" s="2128"/>
      <c r="Z96" s="2128"/>
      <c r="AA96" s="2128"/>
      <c r="AB96" s="2128"/>
      <c r="AC96" s="2128"/>
    </row>
    <row r="97" spans="1:29" ht="14.4" thickTop="1">
      <c r="A97" s="669"/>
      <c r="B97" s="673">
        <f>B31</f>
        <v>111</v>
      </c>
      <c r="C97" s="688"/>
      <c r="D97" s="688"/>
      <c r="E97" s="688"/>
      <c r="F97" s="688"/>
      <c r="G97" s="718"/>
      <c r="H97" s="718"/>
      <c r="I97" s="718"/>
      <c r="J97" s="718"/>
      <c r="K97" s="719"/>
      <c r="L97" s="720"/>
      <c r="M97" s="721"/>
      <c r="N97" s="2147"/>
      <c r="O97" s="2147"/>
      <c r="P97" s="2197"/>
      <c r="Q97" s="2141"/>
      <c r="R97" s="2128"/>
      <c r="S97" s="2128"/>
      <c r="T97" s="2128"/>
      <c r="U97" s="2128"/>
      <c r="V97" s="2128"/>
      <c r="W97" s="2128"/>
      <c r="X97" s="2128"/>
      <c r="Y97" s="2128"/>
      <c r="Z97" s="2128"/>
      <c r="AA97" s="2128"/>
      <c r="AB97" s="2128"/>
      <c r="AC97" s="2128"/>
    </row>
    <row r="98" spans="1:29" ht="14.4" thickBot="1">
      <c r="A98" s="669"/>
      <c r="B98" s="678"/>
      <c r="C98" s="692"/>
      <c r="D98" s="671"/>
      <c r="E98" s="671"/>
      <c r="F98" s="671"/>
      <c r="G98" s="671"/>
      <c r="H98" s="671"/>
      <c r="I98" s="671"/>
      <c r="J98" s="671"/>
      <c r="K98" s="671"/>
      <c r="L98" s="671"/>
      <c r="M98" s="672"/>
      <c r="N98" s="2149"/>
      <c r="O98" s="2149"/>
      <c r="P98" s="2197"/>
      <c r="Q98" s="2141"/>
      <c r="R98" s="2128"/>
      <c r="S98" s="2128"/>
      <c r="T98" s="2128"/>
      <c r="U98" s="2128"/>
      <c r="V98" s="2128"/>
      <c r="W98" s="2128"/>
      <c r="X98" s="2128"/>
      <c r="Y98" s="2128"/>
      <c r="Z98" s="2128"/>
      <c r="AA98" s="2128"/>
      <c r="AB98" s="2128"/>
      <c r="AC98" s="2128"/>
    </row>
    <row r="99" spans="1:29" ht="14.4" thickTop="1">
      <c r="A99" s="669"/>
      <c r="B99" s="681">
        <f>B32</f>
        <v>111</v>
      </c>
      <c r="C99" s="661"/>
      <c r="D99" s="661"/>
      <c r="E99" s="661"/>
      <c r="F99" s="661"/>
      <c r="G99" s="722"/>
      <c r="H99" s="722"/>
      <c r="I99" s="722"/>
      <c r="J99" s="722"/>
      <c r="K99" s="723"/>
      <c r="L99" s="724"/>
      <c r="M99" s="725"/>
      <c r="N99" s="2147"/>
      <c r="O99" s="2147"/>
      <c r="P99" s="2197"/>
      <c r="Q99" s="2141"/>
      <c r="R99" s="2128"/>
      <c r="S99" s="2128"/>
      <c r="T99" s="2128"/>
      <c r="U99" s="2128"/>
      <c r="V99" s="2128"/>
      <c r="W99" s="2128"/>
      <c r="X99" s="2128"/>
      <c r="Y99" s="2128"/>
      <c r="Z99" s="2128"/>
      <c r="AA99" s="2128"/>
      <c r="AB99" s="2128"/>
      <c r="AC99" s="2128"/>
    </row>
    <row r="100" spans="1:29" ht="14.4" thickBot="1">
      <c r="A100" s="893"/>
      <c r="B100" s="699"/>
      <c r="C100" s="700"/>
      <c r="D100" s="700"/>
      <c r="E100" s="700"/>
      <c r="F100" s="700"/>
      <c r="G100" s="726"/>
      <c r="H100" s="726"/>
      <c r="I100" s="726"/>
      <c r="J100" s="726"/>
      <c r="K100" s="726"/>
      <c r="L100" s="726"/>
      <c r="M100" s="727"/>
      <c r="N100" s="2149"/>
      <c r="O100" s="2149"/>
      <c r="P100" s="2197"/>
      <c r="Q100" s="2141"/>
      <c r="R100" s="2128"/>
      <c r="S100" s="2128"/>
      <c r="T100" s="2128"/>
      <c r="U100" s="2128"/>
      <c r="V100" s="2128"/>
      <c r="W100" s="2128"/>
      <c r="X100" s="2128"/>
      <c r="Y100" s="2128"/>
      <c r="Z100" s="2128"/>
      <c r="AA100" s="2128"/>
      <c r="AB100" s="2128"/>
      <c r="AC100" s="2128"/>
    </row>
    <row r="101" spans="1:29" ht="14.4">
      <c r="A101" s="664" t="s">
        <v>551</v>
      </c>
      <c r="B101" s="665" t="s">
        <v>747</v>
      </c>
      <c r="C101" s="598"/>
      <c r="D101" s="598"/>
      <c r="E101" s="598"/>
      <c r="F101" s="598"/>
      <c r="G101" s="598"/>
      <c r="H101" s="598"/>
      <c r="I101" s="598"/>
      <c r="J101" s="598"/>
      <c r="K101" s="666"/>
      <c r="L101" s="667"/>
      <c r="M101" s="668"/>
      <c r="N101" s="2147"/>
      <c r="O101" s="2147"/>
      <c r="P101" s="2197"/>
      <c r="Q101" s="2141"/>
      <c r="R101" s="2128"/>
      <c r="S101" s="2128"/>
      <c r="T101" s="2128"/>
      <c r="U101" s="2128"/>
      <c r="V101" s="2128"/>
      <c r="W101" s="2128"/>
      <c r="X101" s="2128"/>
      <c r="Y101" s="2128"/>
      <c r="Z101" s="2128"/>
      <c r="AA101" s="2128"/>
      <c r="AB101" s="2128"/>
      <c r="AC101" s="2128"/>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49"/>
      <c r="O102" s="2149"/>
      <c r="P102" s="2197"/>
      <c r="Q102" s="2141"/>
      <c r="R102" s="2128"/>
      <c r="S102" s="2128"/>
      <c r="T102" s="2128"/>
      <c r="U102" s="2128"/>
      <c r="V102" s="2128"/>
      <c r="W102" s="2128"/>
      <c r="X102" s="2128"/>
      <c r="Y102" s="2128"/>
      <c r="Z102" s="2128"/>
      <c r="AA102" s="2128"/>
      <c r="AB102" s="2128"/>
      <c r="AC102" s="2128"/>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5" customFormat="1">
      <c r="A104" s="728"/>
      <c r="B104" s="729"/>
      <c r="C104" s="730"/>
      <c r="D104" s="730"/>
      <c r="E104" s="730"/>
      <c r="F104" s="730"/>
      <c r="G104" s="730"/>
      <c r="H104" s="730"/>
      <c r="I104" s="730"/>
      <c r="J104" s="731"/>
      <c r="K104" s="731"/>
      <c r="L104" s="732"/>
      <c r="M104" s="733"/>
      <c r="N104" s="2150"/>
      <c r="O104" s="2150"/>
      <c r="P104" s="2198"/>
      <c r="Q104" s="2152"/>
      <c r="R104" s="2153"/>
      <c r="S104" s="2153"/>
      <c r="T104" s="2153"/>
      <c r="U104" s="2153"/>
      <c r="V104" s="2153"/>
      <c r="W104" s="2153"/>
      <c r="X104" s="2153"/>
      <c r="Y104" s="2153"/>
      <c r="Z104" s="2153"/>
      <c r="AA104" s="2153"/>
      <c r="AB104" s="2153"/>
      <c r="AC104" s="2153"/>
    </row>
    <row r="105" spans="1:29" s="1335" customFormat="1" ht="14.4" thickBot="1">
      <c r="A105" s="687"/>
      <c r="B105" s="678"/>
      <c r="C105" s="692"/>
      <c r="D105" s="671"/>
      <c r="E105" s="671"/>
      <c r="F105" s="671"/>
      <c r="G105" s="671"/>
      <c r="H105" s="671"/>
      <c r="I105" s="671"/>
      <c r="J105" s="671"/>
      <c r="K105" s="671"/>
      <c r="L105" s="671"/>
      <c r="M105" s="672"/>
      <c r="N105" s="2149"/>
      <c r="O105" s="2149"/>
      <c r="P105" s="2198"/>
      <c r="Q105" s="2152"/>
      <c r="R105" s="2153"/>
      <c r="S105" s="2153"/>
      <c r="T105" s="2153"/>
      <c r="U105" s="2153"/>
      <c r="V105" s="2153"/>
      <c r="W105" s="2153"/>
      <c r="X105" s="2153"/>
      <c r="Y105" s="2153"/>
      <c r="Z105" s="2153"/>
      <c r="AA105" s="2153"/>
      <c r="AB105" s="2153"/>
      <c r="AC105" s="2153"/>
    </row>
    <row r="106" spans="1:29" ht="15" thickTop="1">
      <c r="A106" s="735"/>
      <c r="B106" s="673" t="s">
        <v>749</v>
      </c>
      <c r="C106" s="688"/>
      <c r="D106" s="688"/>
      <c r="E106" s="718"/>
      <c r="F106" s="718"/>
      <c r="G106" s="718"/>
      <c r="H106" s="718"/>
      <c r="I106" s="718"/>
      <c r="J106" s="718"/>
      <c r="K106" s="719"/>
      <c r="L106" s="720"/>
      <c r="M106" s="721"/>
      <c r="N106" s="2147"/>
      <c r="O106" s="2147"/>
      <c r="P106" s="2197"/>
      <c r="Q106" s="2141"/>
      <c r="R106" s="2128"/>
      <c r="S106" s="2128"/>
      <c r="T106" s="2128"/>
      <c r="U106" s="2128"/>
      <c r="V106" s="2128"/>
      <c r="W106" s="2128"/>
      <c r="X106" s="2128"/>
      <c r="Y106" s="2128"/>
      <c r="Z106" s="2128"/>
      <c r="AA106" s="2128"/>
      <c r="AB106" s="2128"/>
      <c r="AC106" s="2128"/>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5"/>
      <c r="B108" s="673" t="s">
        <v>751</v>
      </c>
      <c r="C108" s="688"/>
      <c r="D108" s="688"/>
      <c r="E108" s="688"/>
      <c r="F108" s="718"/>
      <c r="G108" s="718"/>
      <c r="H108" s="718"/>
      <c r="I108" s="718"/>
      <c r="J108" s="718"/>
      <c r="K108" s="719"/>
      <c r="L108" s="720"/>
      <c r="M108" s="721"/>
      <c r="N108" s="2147"/>
      <c r="O108" s="2147"/>
      <c r="P108" s="2197"/>
      <c r="Q108" s="2141"/>
      <c r="R108" s="2128"/>
      <c r="S108" s="2128"/>
      <c r="T108" s="2128"/>
      <c r="U108" s="2128"/>
      <c r="V108" s="2128"/>
      <c r="W108" s="2128"/>
      <c r="X108" s="2128"/>
      <c r="Y108" s="2128"/>
      <c r="Z108" s="2128"/>
      <c r="AA108" s="2128"/>
      <c r="AB108" s="2128"/>
      <c r="AC108" s="2128"/>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7"/>
      <c r="O110" s="2147"/>
      <c r="P110" s="2197"/>
      <c r="Q110" s="2141"/>
      <c r="R110" s="2128"/>
      <c r="S110" s="2128"/>
      <c r="T110" s="2128"/>
      <c r="U110" s="2128"/>
      <c r="V110" s="2128"/>
      <c r="W110" s="2128"/>
      <c r="X110" s="2128"/>
      <c r="Y110" s="2128"/>
      <c r="Z110" s="2128"/>
      <c r="AA110" s="2128"/>
      <c r="AB110" s="2128"/>
      <c r="AC110" s="2128"/>
    </row>
    <row r="111" spans="1:29">
      <c r="A111" s="735"/>
      <c r="B111" s="681"/>
      <c r="C111" s="894">
        <v>0.5</v>
      </c>
      <c r="D111" s="894">
        <v>0.6</v>
      </c>
      <c r="E111" s="894">
        <v>0.7</v>
      </c>
      <c r="F111" s="894">
        <v>0.8</v>
      </c>
      <c r="G111" s="894">
        <v>0.9</v>
      </c>
      <c r="H111" s="894">
        <v>1.0001</v>
      </c>
      <c r="I111" s="905"/>
      <c r="J111" s="905"/>
      <c r="K111" s="906"/>
      <c r="L111" s="907"/>
      <c r="M111" s="908"/>
      <c r="N111" s="2147"/>
      <c r="O111" s="2147"/>
      <c r="P111" s="2197"/>
      <c r="Q111" s="2141"/>
      <c r="R111" s="2128"/>
      <c r="S111" s="2128"/>
      <c r="T111" s="2128"/>
      <c r="U111" s="2128"/>
      <c r="V111" s="2128"/>
      <c r="W111" s="2128"/>
      <c r="X111" s="2128"/>
      <c r="Y111" s="2128"/>
      <c r="Z111" s="2128"/>
      <c r="AA111" s="2128"/>
      <c r="AB111" s="2128"/>
      <c r="AC111" s="2128"/>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49"/>
      <c r="O112" s="2149"/>
      <c r="P112" s="2197"/>
      <c r="Q112" s="2141"/>
      <c r="R112" s="2128"/>
      <c r="S112" s="2128"/>
      <c r="T112" s="2128"/>
      <c r="U112" s="2128"/>
      <c r="V112" s="2128"/>
      <c r="W112" s="2128"/>
      <c r="X112" s="2128"/>
      <c r="Y112" s="2128"/>
      <c r="Z112" s="2128"/>
      <c r="AA112" s="2128"/>
      <c r="AB112" s="2128"/>
      <c r="AC112" s="2128"/>
    </row>
    <row r="113" spans="1:29" s="1335" customFormat="1" ht="15" thickTop="1">
      <c r="A113" s="728"/>
      <c r="B113" s="673" t="s">
        <v>786</v>
      </c>
      <c r="C113" s="688"/>
      <c r="D113" s="688"/>
      <c r="E113" s="688"/>
      <c r="F113" s="688"/>
      <c r="G113" s="688"/>
      <c r="H113" s="718"/>
      <c r="I113" s="718"/>
      <c r="J113" s="718"/>
      <c r="K113" s="719"/>
      <c r="L113" s="720"/>
      <c r="M113" s="721"/>
      <c r="N113" s="2150"/>
      <c r="O113" s="2150"/>
      <c r="P113" s="2198"/>
      <c r="Q113" s="2152"/>
      <c r="R113" s="2153"/>
      <c r="S113" s="2153"/>
      <c r="T113" s="2153"/>
      <c r="U113" s="2153"/>
      <c r="V113" s="2153"/>
      <c r="W113" s="2153"/>
      <c r="X113" s="2153"/>
      <c r="Y113" s="2153"/>
      <c r="Z113" s="2153"/>
      <c r="AA113" s="2153"/>
      <c r="AB113" s="2153"/>
      <c r="AC113" s="2153"/>
    </row>
    <row r="114" spans="1:29" s="1335"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5"/>
      <c r="B115" s="673" t="s">
        <v>753</v>
      </c>
      <c r="C115" s="688"/>
      <c r="D115" s="688"/>
      <c r="E115" s="718"/>
      <c r="F115" s="718"/>
      <c r="G115" s="718"/>
      <c r="H115" s="718"/>
      <c r="I115" s="718"/>
      <c r="J115" s="718"/>
      <c r="K115" s="719"/>
      <c r="L115" s="720"/>
      <c r="M115" s="721"/>
      <c r="N115" s="2147"/>
      <c r="O115" s="2147"/>
      <c r="P115" s="2197"/>
      <c r="Q115" s="2141"/>
      <c r="R115" s="2128"/>
      <c r="S115" s="2128"/>
      <c r="T115" s="2128"/>
      <c r="U115" s="2128"/>
      <c r="V115" s="2128"/>
      <c r="W115" s="2128"/>
      <c r="X115" s="2128"/>
      <c r="Y115" s="2128"/>
      <c r="Z115" s="2128"/>
      <c r="AA115" s="2128"/>
      <c r="AB115" s="2128"/>
      <c r="AC115" s="2128"/>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5"/>
      <c r="B117" s="1879" t="s">
        <v>2553</v>
      </c>
      <c r="C117" s="688"/>
      <c r="D117" s="688"/>
      <c r="E117" s="688"/>
      <c r="F117" s="688"/>
      <c r="G117" s="688"/>
      <c r="H117" s="718"/>
      <c r="I117" s="718"/>
      <c r="J117" s="718"/>
      <c r="K117" s="719"/>
      <c r="L117" s="720"/>
      <c r="M117" s="721"/>
      <c r="N117" s="2147"/>
      <c r="O117" s="2147"/>
      <c r="P117" s="2197"/>
      <c r="Q117" s="2141"/>
      <c r="R117" s="2128"/>
      <c r="S117" s="2128"/>
      <c r="T117" s="2128"/>
      <c r="U117" s="2128"/>
      <c r="V117" s="2128"/>
      <c r="W117" s="2128"/>
      <c r="X117" s="2128"/>
      <c r="Y117" s="2128"/>
      <c r="Z117" s="2128"/>
      <c r="AA117" s="2128"/>
      <c r="AB117" s="2128"/>
      <c r="AC117" s="2128"/>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49"/>
      <c r="O118" s="2149"/>
      <c r="P118" s="2197"/>
      <c r="Q118" s="2141"/>
      <c r="R118" s="2128"/>
      <c r="S118" s="2128"/>
      <c r="T118" s="2128"/>
      <c r="U118" s="2128"/>
      <c r="V118" s="2128"/>
      <c r="W118" s="2128"/>
      <c r="X118" s="2128"/>
      <c r="Y118" s="2128"/>
      <c r="Z118" s="2128"/>
      <c r="AA118" s="2128"/>
      <c r="AB118" s="2128"/>
      <c r="AC118" s="2128"/>
    </row>
    <row r="119" spans="1:29" ht="15" thickTop="1">
      <c r="A119" s="735"/>
      <c r="B119" s="917" t="s">
        <v>787</v>
      </c>
      <c r="C119" s="718"/>
      <c r="D119" s="718"/>
      <c r="E119" s="718"/>
      <c r="F119" s="718"/>
      <c r="G119" s="718"/>
      <c r="H119" s="718"/>
      <c r="I119" s="718"/>
      <c r="J119" s="718"/>
      <c r="K119" s="718"/>
      <c r="L119" s="918"/>
      <c r="M119" s="919"/>
      <c r="N119" s="2149"/>
      <c r="O119" s="2149"/>
      <c r="P119" s="2202"/>
      <c r="Q119" s="2189"/>
      <c r="R119" s="2128"/>
      <c r="S119" s="2128"/>
      <c r="T119" s="2128"/>
      <c r="U119" s="2128"/>
      <c r="V119" s="2128"/>
      <c r="W119" s="2128"/>
      <c r="X119" s="2128"/>
      <c r="Y119" s="2128"/>
      <c r="Z119" s="2128"/>
      <c r="AA119" s="2128"/>
      <c r="AB119" s="2128"/>
      <c r="AC119" s="2128"/>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49"/>
      <c r="O120" s="2149"/>
      <c r="P120" s="2197"/>
      <c r="Q120" s="2141"/>
      <c r="R120" s="2128"/>
      <c r="S120" s="2128"/>
      <c r="T120" s="2128"/>
      <c r="U120" s="2128"/>
      <c r="V120" s="2128"/>
      <c r="W120" s="2128"/>
      <c r="X120" s="2128"/>
      <c r="Y120" s="2128"/>
      <c r="Z120" s="2128"/>
      <c r="AA120" s="2128"/>
      <c r="AB120" s="2128"/>
      <c r="AC120" s="2128"/>
    </row>
    <row r="121" spans="1:29" s="1335" customFormat="1" ht="15" thickTop="1">
      <c r="A121" s="728"/>
      <c r="B121" s="673" t="s">
        <v>775</v>
      </c>
      <c r="C121" s="688"/>
      <c r="D121" s="688"/>
      <c r="E121" s="688"/>
      <c r="F121" s="718"/>
      <c r="G121" s="689"/>
      <c r="H121" s="689"/>
      <c r="I121" s="689"/>
      <c r="J121" s="689"/>
      <c r="K121" s="689"/>
      <c r="L121" s="690"/>
      <c r="M121" s="691"/>
      <c r="N121" s="2150"/>
      <c r="O121" s="2150"/>
      <c r="P121" s="2198"/>
      <c r="Q121" s="2152"/>
      <c r="R121" s="2153"/>
      <c r="S121" s="2153"/>
      <c r="T121" s="2153"/>
      <c r="U121" s="2153"/>
      <c r="V121" s="2153"/>
      <c r="W121" s="2153"/>
      <c r="X121" s="2153"/>
      <c r="Y121" s="2153"/>
      <c r="Z121" s="2153"/>
      <c r="AA121" s="2153"/>
      <c r="AB121" s="2153"/>
      <c r="AC121" s="2153"/>
    </row>
    <row r="122" spans="1:29" s="1335" customFormat="1" ht="14.4" thickBot="1">
      <c r="A122" s="687"/>
      <c r="B122" s="670"/>
      <c r="C122" s="692"/>
      <c r="D122" s="692"/>
      <c r="E122" s="692"/>
      <c r="F122" s="692"/>
      <c r="G122" s="692"/>
      <c r="H122" s="692"/>
      <c r="I122" s="692"/>
      <c r="J122" s="692"/>
      <c r="K122" s="692"/>
      <c r="L122" s="692"/>
      <c r="M122" s="692"/>
      <c r="N122" s="2150"/>
      <c r="O122" s="2150"/>
      <c r="P122" s="2198"/>
      <c r="Q122" s="2152"/>
      <c r="R122" s="2153"/>
      <c r="S122" s="2153"/>
      <c r="T122" s="2153"/>
      <c r="U122" s="2153"/>
      <c r="V122" s="2153"/>
      <c r="W122" s="2153"/>
      <c r="X122" s="2153"/>
      <c r="Y122" s="2153"/>
      <c r="Z122" s="2153"/>
      <c r="AA122" s="2153"/>
      <c r="AB122" s="2153"/>
      <c r="AC122" s="2153"/>
    </row>
    <row r="123" spans="1:29" ht="15" thickTop="1">
      <c r="A123" s="735"/>
      <c r="B123" s="673" t="s">
        <v>755</v>
      </c>
      <c r="C123" s="688"/>
      <c r="D123" s="688"/>
      <c r="E123" s="688"/>
      <c r="F123" s="718"/>
      <c r="G123" s="718"/>
      <c r="H123" s="718"/>
      <c r="I123" s="718"/>
      <c r="J123" s="718"/>
      <c r="K123" s="719"/>
      <c r="L123" s="720"/>
      <c r="M123" s="721"/>
      <c r="N123" s="2147"/>
      <c r="O123" s="2147"/>
      <c r="P123" s="2197"/>
      <c r="Q123" s="2141"/>
      <c r="R123" s="2128"/>
      <c r="S123" s="2128"/>
      <c r="T123" s="2128"/>
      <c r="U123" s="2128"/>
      <c r="V123" s="2128"/>
      <c r="W123" s="2128"/>
      <c r="X123" s="2128"/>
      <c r="Y123" s="2128"/>
      <c r="Z123" s="2128"/>
      <c r="AA123" s="2128"/>
      <c r="AB123" s="2128"/>
      <c r="AC123" s="2128"/>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49"/>
      <c r="O124" s="2149"/>
      <c r="P124" s="2197"/>
      <c r="Q124" s="2141"/>
      <c r="R124" s="2128"/>
      <c r="S124" s="2128"/>
      <c r="T124" s="2128"/>
      <c r="U124" s="2128"/>
      <c r="V124" s="2128"/>
      <c r="W124" s="2128"/>
      <c r="X124" s="2128"/>
      <c r="Y124" s="2128"/>
      <c r="Z124" s="2128"/>
      <c r="AA124" s="2128"/>
      <c r="AB124" s="2128"/>
      <c r="AC124" s="2128"/>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47"/>
      <c r="O125" s="2147"/>
      <c r="P125" s="2198"/>
      <c r="Q125" s="2141"/>
      <c r="R125" s="2128"/>
      <c r="S125" s="2128"/>
      <c r="T125" s="2128"/>
      <c r="U125" s="2128"/>
      <c r="V125" s="2128"/>
      <c r="W125" s="2128"/>
      <c r="X125" s="2128"/>
      <c r="Y125" s="2128"/>
      <c r="Z125" s="2128"/>
      <c r="AA125" s="2128"/>
      <c r="AB125" s="2128"/>
      <c r="AC125" s="2128"/>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49"/>
      <c r="O126" s="2149"/>
      <c r="P126" s="2197"/>
      <c r="Q126" s="2141"/>
      <c r="R126" s="2128"/>
      <c r="S126" s="2128"/>
      <c r="T126" s="2128"/>
      <c r="U126" s="2128"/>
      <c r="V126" s="2128"/>
      <c r="W126" s="2128"/>
      <c r="X126" s="2128"/>
      <c r="Y126" s="2128"/>
      <c r="Z126" s="2128"/>
      <c r="AA126" s="2128"/>
      <c r="AB126" s="2128"/>
      <c r="AC126" s="2128"/>
    </row>
    <row r="127" spans="1:29" s="1335" customFormat="1" ht="14.4" thickTop="1">
      <c r="A127" s="728"/>
      <c r="B127" s="673">
        <f>B45</f>
        <v>111</v>
      </c>
      <c r="C127" s="688"/>
      <c r="D127" s="688"/>
      <c r="E127" s="688"/>
      <c r="F127" s="688"/>
      <c r="G127" s="688"/>
      <c r="H127" s="689"/>
      <c r="I127" s="689"/>
      <c r="J127" s="689"/>
      <c r="K127" s="689"/>
      <c r="L127" s="690"/>
      <c r="M127" s="691"/>
      <c r="N127" s="2150"/>
      <c r="O127" s="2150"/>
      <c r="P127" s="2198"/>
      <c r="Q127" s="2152"/>
      <c r="R127" s="2153"/>
      <c r="S127" s="2153"/>
      <c r="T127" s="2153"/>
      <c r="U127" s="2153"/>
      <c r="V127" s="2153"/>
      <c r="W127" s="2153"/>
      <c r="X127" s="2153"/>
      <c r="Y127" s="2153"/>
      <c r="Z127" s="2153"/>
      <c r="AA127" s="2153"/>
      <c r="AB127" s="2153"/>
      <c r="AC127" s="2153"/>
    </row>
    <row r="128" spans="1:29" s="1335" customFormat="1" ht="14.4" thickBot="1">
      <c r="A128" s="687"/>
      <c r="B128" s="678"/>
      <c r="C128" s="692"/>
      <c r="D128" s="671"/>
      <c r="E128" s="671"/>
      <c r="F128" s="671"/>
      <c r="G128" s="692"/>
      <c r="H128" s="693"/>
      <c r="I128" s="693"/>
      <c r="J128" s="693"/>
      <c r="K128" s="693"/>
      <c r="L128" s="693"/>
      <c r="M128" s="694"/>
      <c r="N128" s="2150"/>
      <c r="O128" s="2150"/>
      <c r="P128" s="2198"/>
      <c r="Q128" s="2152"/>
      <c r="R128" s="2153"/>
      <c r="S128" s="2153"/>
      <c r="T128" s="2153"/>
      <c r="U128" s="2153"/>
      <c r="V128" s="2153"/>
      <c r="W128" s="2153"/>
      <c r="X128" s="2153"/>
      <c r="Y128" s="2153"/>
      <c r="Z128" s="2153"/>
      <c r="AA128" s="2153"/>
      <c r="AB128" s="2153"/>
      <c r="AC128" s="2153"/>
    </row>
    <row r="129" spans="1:29" ht="14.4" thickTop="1">
      <c r="A129" s="735"/>
      <c r="B129" s="673">
        <f>B46</f>
        <v>111</v>
      </c>
      <c r="C129" s="688"/>
      <c r="D129" s="688"/>
      <c r="E129" s="688"/>
      <c r="F129" s="688"/>
      <c r="G129" s="718"/>
      <c r="H129" s="718"/>
      <c r="I129" s="718"/>
      <c r="J129" s="718"/>
      <c r="K129" s="719"/>
      <c r="L129" s="720"/>
      <c r="M129" s="721"/>
      <c r="N129" s="2147"/>
      <c r="O129" s="2147"/>
      <c r="P129" s="2197"/>
      <c r="Q129" s="2141"/>
      <c r="R129" s="2128"/>
      <c r="S129" s="2128"/>
      <c r="T129" s="2128"/>
      <c r="U129" s="2128"/>
      <c r="V129" s="2128"/>
      <c r="W129" s="2128"/>
      <c r="X129" s="2128"/>
      <c r="Y129" s="2128"/>
      <c r="Z129" s="2128"/>
      <c r="AA129" s="2128"/>
      <c r="AB129" s="2128"/>
      <c r="AC129" s="2128"/>
    </row>
    <row r="130" spans="1:29" ht="14.4" thickBot="1">
      <c r="A130" s="669"/>
      <c r="B130" s="678"/>
      <c r="C130" s="692"/>
      <c r="D130" s="692"/>
      <c r="E130" s="692"/>
      <c r="F130" s="692"/>
      <c r="G130" s="671"/>
      <c r="H130" s="671"/>
      <c r="I130" s="671"/>
      <c r="J130" s="671"/>
      <c r="K130" s="671"/>
      <c r="L130" s="671"/>
      <c r="M130" s="672"/>
      <c r="N130" s="2149"/>
      <c r="O130" s="2149"/>
      <c r="P130" s="2197"/>
      <c r="Q130" s="2141"/>
      <c r="R130" s="2128"/>
      <c r="S130" s="2128"/>
      <c r="T130" s="2128"/>
      <c r="U130" s="2128"/>
      <c r="V130" s="2128"/>
      <c r="W130" s="2128"/>
      <c r="X130" s="2128"/>
      <c r="Y130" s="2128"/>
      <c r="Z130" s="2128"/>
      <c r="AA130" s="2128"/>
      <c r="AB130" s="2128"/>
      <c r="AC130" s="2128"/>
    </row>
    <row r="131" spans="1:29" ht="14.4" thickTop="1">
      <c r="A131" s="735"/>
      <c r="B131" s="681">
        <f>B47</f>
        <v>111</v>
      </c>
      <c r="C131" s="661"/>
      <c r="D131" s="661"/>
      <c r="E131" s="661"/>
      <c r="F131" s="661"/>
      <c r="G131" s="722"/>
      <c r="H131" s="722"/>
      <c r="I131" s="722"/>
      <c r="J131" s="722"/>
      <c r="K131" s="661"/>
      <c r="L131" s="662"/>
      <c r="M131" s="725"/>
      <c r="N131" s="2147"/>
      <c r="O131" s="2147"/>
      <c r="P131" s="2197"/>
      <c r="Q131" s="2141"/>
      <c r="R131" s="2128"/>
      <c r="S131" s="2128"/>
      <c r="T131" s="2128"/>
      <c r="U131" s="2128"/>
      <c r="V131" s="2128"/>
      <c r="W131" s="2128"/>
      <c r="X131" s="2128"/>
      <c r="Y131" s="2128"/>
      <c r="Z131" s="2128"/>
      <c r="AA131" s="2128"/>
      <c r="AB131" s="2128"/>
      <c r="AC131" s="2128"/>
    </row>
    <row r="132" spans="1:29" ht="14.4" thickBot="1">
      <c r="A132" s="893"/>
      <c r="B132" s="699"/>
      <c r="C132" s="700"/>
      <c r="D132" s="700"/>
      <c r="E132" s="700"/>
      <c r="F132" s="700"/>
      <c r="G132" s="726"/>
      <c r="H132" s="726"/>
      <c r="I132" s="726"/>
      <c r="J132" s="726"/>
      <c r="K132" s="726"/>
      <c r="L132" s="726"/>
      <c r="M132" s="727"/>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C10 E10 G10 I10" xr:uid="{00000000-0002-0000-2400-000006000000}">
      <formula1>土地年限区间</formula1>
    </dataValidation>
    <dataValidation type="list" allowBlank="1" showInputMessage="1" showErrorMessage="1" sqref="E9 G9 I9" xr:uid="{00000000-0002-0000-2400-000007000000}">
      <formula1>办公用途</formula1>
    </dataValidation>
    <dataValidation type="list" allowBlank="1" showInputMessage="1" showErrorMessage="1" sqref="C16 E16 G16 I16" xr:uid="{00000000-0002-0000-2400-000008000000}">
      <formula1>办公集聚程度</formula1>
    </dataValidation>
    <dataValidation type="list" allowBlank="1" showInputMessage="1" showErrorMessage="1" sqref="G26 C26 E26 I26" xr:uid="{00000000-0002-0000-2400-000009000000}">
      <formula1>办公道路级别</formula1>
    </dataValidation>
    <dataValidation type="list" allowBlank="1" showInputMessage="1" showErrorMessage="1" sqref="C28 E28 G28 I28" xr:uid="{00000000-0002-0000-2400-00000A000000}">
      <formula1>办公朝向</formula1>
    </dataValidation>
    <dataValidation type="list" allowBlank="1" showInputMessage="1" showErrorMessage="1" sqref="C27 E27 G27 I27" xr:uid="{00000000-0002-0000-2400-00000B000000}">
      <formula1>办公楼层</formula1>
    </dataValidation>
    <dataValidation type="list" allowBlank="1" showInputMessage="1" showErrorMessage="1" sqref="C33 E33 G33 I33" xr:uid="{00000000-0002-0000-2400-00000C000000}">
      <formula1>办公建筑类型</formula1>
    </dataValidation>
    <dataValidation type="list" allowBlank="1" showInputMessage="1" showErrorMessage="1" sqref="C36 E36 G36 I36" xr:uid="{00000000-0002-0000-2400-00000D000000}">
      <formula1>办公公共部分装修</formula1>
    </dataValidation>
    <dataValidation type="list" allowBlank="1" showInputMessage="1" showErrorMessage="1" sqref="C38 E38 G38 I38" xr:uid="{00000000-0002-0000-2400-00000E000000}">
      <formula1>写字楼等级</formula1>
    </dataValidation>
    <dataValidation type="list" allowBlank="1" showInputMessage="1" showErrorMessage="1" sqref="C39 E39 G39 I39" xr:uid="{00000000-0002-0000-2400-00000F000000}">
      <formula1>办公物业管理</formula1>
    </dataValidation>
    <dataValidation type="list" allowBlank="1" showInputMessage="1" showErrorMessage="1" sqref="C40 E40 G40 I40" xr:uid="{00000000-0002-0000-2400-000010000000}">
      <formula1>办公基础设施水平</formula1>
    </dataValidation>
    <dataValidation type="list" allowBlank="1" showInputMessage="1" showErrorMessage="1" sqref="C41 E41 G41 I41" xr:uid="{00000000-0002-0000-2400-000011000000}">
      <formula1>办公层高</formula1>
    </dataValidation>
    <dataValidation type="list" allowBlank="1" showInputMessage="1" showErrorMessage="1" sqref="C43 E43 G43 I43" xr:uid="{00000000-0002-0000-2400-000012000000}">
      <formula1>办公内部装修</formula1>
    </dataValidation>
    <dataValidation type="list" allowBlank="1" showInputMessage="1" showErrorMessage="1" sqref="C8 E8 G8 I8" xr:uid="{00000000-0002-0000-2400-000013000000}">
      <formula1>办公交易情况</formula1>
    </dataValidation>
    <dataValidation type="list" allowBlank="1" showInputMessage="1" showErrorMessage="1" sqref="C22 E22 G22 I22" xr:uid="{00000000-0002-0000-2400-000014000000}">
      <formula1>基础设施水平</formula1>
    </dataValidation>
    <dataValidation type="list" allowBlank="1" showInputMessage="1" showErrorMessage="1" sqref="F1" xr:uid="{00000000-0002-0000-2400-000015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AG76"/>
  <sheetViews>
    <sheetView topLeftCell="A13" zoomScale="80" zoomScaleNormal="80" workbookViewId="0">
      <selection activeCell="E22" sqref="E22"/>
    </sheetView>
  </sheetViews>
  <sheetFormatPr defaultColWidth="9" defaultRowHeight="15"/>
  <cols>
    <col min="1" max="1" width="9" style="2043" customWidth="1"/>
    <col min="2" max="2" width="20.6640625" style="2082" customWidth="1"/>
    <col min="3" max="3" width="11.88671875" style="2082" customWidth="1"/>
    <col min="4" max="4" width="40.44140625" style="2043" customWidth="1"/>
    <col min="5" max="5" width="15.77734375" style="2043" customWidth="1"/>
    <col min="6" max="6" width="10.6640625" style="2043" customWidth="1"/>
    <col min="7" max="7" width="4.88671875" style="2043" customWidth="1"/>
    <col min="8" max="8" width="8.44140625" style="2043" customWidth="1"/>
    <col min="9" max="9" width="21.21875" style="2043" customWidth="1"/>
    <col min="10" max="10" width="12.21875" style="2043" customWidth="1"/>
    <col min="11" max="11" width="40.109375" style="2083" customWidth="1"/>
    <col min="12" max="12" width="18.33203125" style="2043" customWidth="1"/>
    <col min="13" max="13" width="13" style="2043" customWidth="1"/>
    <col min="14" max="14" width="9.44140625" style="2042" bestFit="1" customWidth="1"/>
    <col min="15" max="15" width="5.88671875" style="2042" customWidth="1"/>
    <col min="16" max="16" width="27.6640625" style="2042" customWidth="1"/>
    <col min="17" max="17" width="13.77734375" style="2080" customWidth="1"/>
    <col min="18" max="18" width="23.44140625" style="2042" customWidth="1"/>
    <col min="19" max="19" width="1.44140625" style="2042" customWidth="1"/>
    <col min="20" max="33" width="9" style="2042"/>
    <col min="34" max="16384" width="9" style="2043"/>
  </cols>
  <sheetData>
    <row r="1" spans="1:33" s="2037" customFormat="1" ht="21.6">
      <c r="A1" s="832" t="s">
        <v>1724</v>
      </c>
      <c r="B1" s="738"/>
      <c r="C1" s="773" t="s">
        <v>3288</v>
      </c>
      <c r="D1" s="3072" t="s">
        <v>3203</v>
      </c>
      <c r="E1" s="2349" t="s">
        <v>870</v>
      </c>
      <c r="F1" s="2350">
        <f ca="1">J53</f>
        <v>41.79</v>
      </c>
      <c r="G1" s="774">
        <f>MATCH(C1,'数据-取费表'!A6:A16,0)+5</f>
        <v>10</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3" t="s">
        <v>467</v>
      </c>
      <c r="B2" s="775">
        <f ca="1">C40+J29+L46</f>
        <v>5444</v>
      </c>
      <c r="C2" s="2040"/>
      <c r="D2" s="2038"/>
      <c r="E2" s="2039"/>
      <c r="F2" s="2039"/>
      <c r="G2" s="1576"/>
      <c r="H2" s="2040"/>
      <c r="I2" s="2040"/>
      <c r="J2" s="2040"/>
      <c r="K2" s="2041"/>
      <c r="L2" s="2040"/>
      <c r="M2" s="2040"/>
    </row>
    <row r="3" spans="1:33" ht="18" customHeight="1" thickBot="1">
      <c r="A3" s="833" t="s">
        <v>519</v>
      </c>
      <c r="B3" s="834">
        <f ca="1">IF(ISERROR(B2*10000/F43),0,ROUND(B2*10000/F43,0))</f>
        <v>1572</v>
      </c>
      <c r="C3" s="2040"/>
      <c r="D3" s="2038"/>
      <c r="E3" s="2039"/>
      <c r="F3" s="2039"/>
      <c r="G3" s="1576"/>
      <c r="H3" s="776" t="s">
        <v>695</v>
      </c>
      <c r="I3" s="1359"/>
      <c r="J3" s="1359"/>
      <c r="K3" s="1577"/>
      <c r="L3" s="1359"/>
      <c r="M3" s="1359"/>
    </row>
    <row r="4" spans="1:33" ht="18" customHeight="1">
      <c r="A4" s="777" t="s">
        <v>630</v>
      </c>
      <c r="B4" s="778" t="s">
        <v>631</v>
      </c>
      <c r="C4" s="778" t="s">
        <v>632</v>
      </c>
      <c r="D4" s="778" t="s">
        <v>633</v>
      </c>
      <c r="E4" s="779" t="s">
        <v>634</v>
      </c>
      <c r="F4" s="780"/>
      <c r="G4" s="1578"/>
      <c r="H4" s="777" t="s">
        <v>630</v>
      </c>
      <c r="I4" s="778" t="s">
        <v>631</v>
      </c>
      <c r="J4" s="778" t="s">
        <v>632</v>
      </c>
      <c r="K4" s="778" t="s">
        <v>633</v>
      </c>
      <c r="L4" s="779" t="s">
        <v>634</v>
      </c>
      <c r="M4" s="780"/>
    </row>
    <row r="5" spans="1:33" ht="18" customHeight="1">
      <c r="A5" s="781">
        <v>1</v>
      </c>
      <c r="B5" s="782" t="s">
        <v>2455</v>
      </c>
      <c r="C5" s="55">
        <f ca="1">C6+C10+C12</f>
        <v>397</v>
      </c>
      <c r="D5" s="2458" t="s">
        <v>2458</v>
      </c>
      <c r="E5" s="2452"/>
      <c r="F5" s="2453"/>
      <c r="G5" s="1578"/>
      <c r="H5" s="781">
        <v>1</v>
      </c>
      <c r="I5" s="782" t="s">
        <v>2455</v>
      </c>
      <c r="J5" s="55">
        <f ca="1">J6+J10+J12</f>
        <v>0</v>
      </c>
      <c r="K5" s="2458" t="s">
        <v>2458</v>
      </c>
      <c r="L5" s="2452"/>
      <c r="M5" s="2453"/>
    </row>
    <row r="6" spans="1:33" ht="18" customHeight="1">
      <c r="A6" s="1813" t="s">
        <v>1823</v>
      </c>
      <c r="B6" s="3584" t="s">
        <v>2460</v>
      </c>
      <c r="C6" s="783">
        <f ca="1">ROUND(F6*F8*F7*(1-F9)/10000,0)</f>
        <v>397</v>
      </c>
      <c r="D6" s="2459" t="s">
        <v>2459</v>
      </c>
      <c r="E6" s="784" t="s">
        <v>637</v>
      </c>
      <c r="F6" s="785">
        <f ca="1">INDIRECT("'数据-取费表'!u"&amp;$G$1)</f>
        <v>450</v>
      </c>
      <c r="G6" s="1578"/>
      <c r="H6" s="2466" t="s">
        <v>1823</v>
      </c>
      <c r="I6" s="3584" t="s">
        <v>2460</v>
      </c>
      <c r="J6" s="783">
        <f ca="1">ROUND(M6*M8*M7*(1-M9)/10000,0)</f>
        <v>0</v>
      </c>
      <c r="K6" s="341" t="s">
        <v>636</v>
      </c>
      <c r="L6" s="784" t="s">
        <v>637</v>
      </c>
      <c r="M6" s="785">
        <f ca="1">INDIRECT("'数据-取费表'!z"&amp;$G$1)</f>
        <v>0</v>
      </c>
    </row>
    <row r="7" spans="1:33" ht="18" customHeight="1">
      <c r="A7" s="2462"/>
      <c r="B7" s="3585"/>
      <c r="C7" s="788"/>
      <c r="D7" s="789"/>
      <c r="E7" s="784" t="s">
        <v>638</v>
      </c>
      <c r="F7" s="785">
        <f ca="1">IF(INDIRECT("'数据-取费表'!ah"&amp;$G$1)="",INDIRECT("'数据-取费表'!k"&amp;$G$1),INDIRECT("'数据-取费表'!ah"&amp;$G$1))</f>
        <v>866</v>
      </c>
      <c r="G7" s="1578"/>
      <c r="H7" s="2451"/>
      <c r="I7" s="3585"/>
      <c r="J7" s="788"/>
      <c r="K7" s="789"/>
      <c r="L7" s="784" t="s">
        <v>638</v>
      </c>
      <c r="M7" s="785">
        <f ca="1">F7</f>
        <v>866</v>
      </c>
    </row>
    <row r="8" spans="1:33" ht="18" customHeight="1">
      <c r="A8" s="2455"/>
      <c r="B8" s="3586"/>
      <c r="C8" s="788"/>
      <c r="D8" s="789"/>
      <c r="E8" s="784" t="s">
        <v>639</v>
      </c>
      <c r="F8" s="785">
        <f ca="1">INDIRECT("'数据-取费表'!ai"&amp;$G$1)</f>
        <v>12</v>
      </c>
      <c r="G8" s="1578"/>
      <c r="H8" s="2451"/>
      <c r="I8" s="3586"/>
      <c r="J8" s="788"/>
      <c r="K8" s="789"/>
      <c r="L8" s="784" t="s">
        <v>639</v>
      </c>
      <c r="M8" s="785">
        <f ca="1">INDIRECT("'数据-取费表'!ai"&amp;$G$1)</f>
        <v>12</v>
      </c>
    </row>
    <row r="9" spans="1:33" ht="18" customHeight="1">
      <c r="A9" s="786"/>
      <c r="B9" s="3587"/>
      <c r="C9" s="788"/>
      <c r="D9" s="789"/>
      <c r="E9" s="784" t="s">
        <v>640</v>
      </c>
      <c r="F9" s="794">
        <f ca="1">INDIRECT("'数据-取费表'!w"&amp;$G$1)</f>
        <v>0.15</v>
      </c>
      <c r="G9" s="1578"/>
      <c r="H9" s="2467"/>
      <c r="I9" s="3586"/>
      <c r="J9" s="788"/>
      <c r="K9" s="789"/>
      <c r="L9" s="795" t="s">
        <v>640</v>
      </c>
      <c r="M9" s="796">
        <f ca="1">INDIRECT("'数据-取费表'!ab"&amp;$G$1)</f>
        <v>0</v>
      </c>
    </row>
    <row r="10" spans="1:33" ht="18" customHeight="1">
      <c r="A10" s="1813" t="s">
        <v>1824</v>
      </c>
      <c r="B10" s="2456" t="s">
        <v>2456</v>
      </c>
      <c r="C10" s="799">
        <f ca="1">ROUND(IF(F10="押一",C6/12*F11,IF(F10="押二",C6/12*2*F11,IF(F10="押三",C6/12*3*F11,C11*F11))),0)</f>
        <v>0</v>
      </c>
      <c r="D10" s="2463" t="s">
        <v>2967</v>
      </c>
      <c r="E10" s="2460" t="s">
        <v>2461</v>
      </c>
      <c r="F10" s="2583" t="s">
        <v>3185</v>
      </c>
      <c r="G10" s="1578"/>
      <c r="H10" s="2523" t="s">
        <v>1824</v>
      </c>
      <c r="I10" s="2528" t="s">
        <v>2456</v>
      </c>
      <c r="J10" s="783">
        <f ca="1">ROUND(IF(M10="押一",J6/12*M11,IF(M10="押二",J6/12*2*M11,IF(M10="押三",J6/12*3*M11,J11*M11))),0)</f>
        <v>0</v>
      </c>
      <c r="K10" s="2463" t="s">
        <v>2967</v>
      </c>
      <c r="L10" s="2460" t="s">
        <v>2461</v>
      </c>
      <c r="M10" s="2583"/>
    </row>
    <row r="11" spans="1:33" ht="18" customHeight="1">
      <c r="A11" s="790"/>
      <c r="B11" s="2457" t="s">
        <v>2570</v>
      </c>
      <c r="C11" s="2461"/>
      <c r="D11" s="789"/>
      <c r="E11" s="2460" t="s">
        <v>2453</v>
      </c>
      <c r="F11" s="796">
        <f ca="1">'数据-取费表'!B39</f>
        <v>1.4999999999999999E-2</v>
      </c>
      <c r="G11" s="1578"/>
      <c r="H11" s="2524"/>
      <c r="I11" s="2457" t="s">
        <v>2570</v>
      </c>
      <c r="J11" s="2461"/>
      <c r="K11" s="2525"/>
      <c r="L11" s="2460" t="s">
        <v>2453</v>
      </c>
      <c r="M11" s="2454">
        <f ca="1">'数据-取费表'!B39</f>
        <v>1.4999999999999999E-2</v>
      </c>
    </row>
    <row r="12" spans="1:33" ht="18" customHeight="1" thickBot="1">
      <c r="A12" s="2499" t="s">
        <v>2464</v>
      </c>
      <c r="B12" s="2500" t="s">
        <v>2457</v>
      </c>
      <c r="C12" s="2501"/>
      <c r="D12" s="2502"/>
      <c r="E12" s="2503"/>
      <c r="F12" s="2504"/>
      <c r="G12" s="1578"/>
      <c r="H12" s="2513" t="s">
        <v>2464</v>
      </c>
      <c r="I12" s="2526" t="s">
        <v>2457</v>
      </c>
      <c r="J12" s="2527"/>
      <c r="K12" s="2502"/>
      <c r="L12" s="2503"/>
      <c r="M12" s="2516"/>
    </row>
    <row r="13" spans="1:33" ht="18" customHeight="1" thickTop="1">
      <c r="A13" s="1812">
        <v>2</v>
      </c>
      <c r="B13" s="1810" t="s">
        <v>644</v>
      </c>
      <c r="C13" s="792">
        <f ca="1">ROUND(C29*F13,0)</f>
        <v>8943</v>
      </c>
      <c r="D13" s="1817" t="s">
        <v>2294</v>
      </c>
      <c r="E13" s="1817" t="s">
        <v>643</v>
      </c>
      <c r="F13" s="2498">
        <f ca="1">INDIRECT("'数据-取费表'!y"&amp;$G$1)</f>
        <v>1</v>
      </c>
      <c r="G13" s="1578"/>
      <c r="H13" s="1812">
        <v>2</v>
      </c>
      <c r="I13" s="1810" t="s">
        <v>644</v>
      </c>
      <c r="J13" s="1802">
        <f ca="1">ROUND(J14*J15,0)</f>
        <v>0</v>
      </c>
      <c r="K13" s="1804" t="s">
        <v>642</v>
      </c>
      <c r="L13" s="2514"/>
      <c r="M13" s="2515"/>
    </row>
    <row r="14" spans="1:33" ht="18" customHeight="1">
      <c r="A14" s="1633" t="s">
        <v>1830</v>
      </c>
      <c r="B14" s="784" t="s">
        <v>645</v>
      </c>
      <c r="C14" s="804">
        <f ca="1">INDIRECT("'数据-取费表'!m"&amp;$G$1)+INDIRECT("'数据-取费表'!t"&amp;$G$1)</f>
        <v>6396</v>
      </c>
      <c r="D14" s="3207" t="s">
        <v>646</v>
      </c>
      <c r="E14" s="3208"/>
      <c r="F14" s="805"/>
      <c r="G14" s="1578"/>
      <c r="H14" s="1634" t="s">
        <v>1823</v>
      </c>
      <c r="I14" s="2214" t="s">
        <v>2821</v>
      </c>
      <c r="J14" s="53">
        <f ca="1">C29</f>
        <v>8943</v>
      </c>
      <c r="K14" s="26"/>
      <c r="L14" s="801"/>
      <c r="M14" s="802"/>
    </row>
    <row r="15" spans="1:33" s="2047" customFormat="1" ht="18" customHeight="1" thickBot="1">
      <c r="A15" s="1633" t="s">
        <v>1831</v>
      </c>
      <c r="B15" s="784" t="s">
        <v>647</v>
      </c>
      <c r="C15" s="53">
        <f ca="1">ROUND(C14*F15,0)</f>
        <v>192</v>
      </c>
      <c r="D15" s="806" t="s">
        <v>648</v>
      </c>
      <c r="E15" s="806" t="s">
        <v>649</v>
      </c>
      <c r="F15" s="807">
        <f>'数据-取费表'!B33</f>
        <v>0.03</v>
      </c>
      <c r="G15" s="1579"/>
      <c r="H15" s="2513" t="s">
        <v>1888</v>
      </c>
      <c r="I15" s="2508" t="s">
        <v>643</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3" t="s">
        <v>1832</v>
      </c>
      <c r="B16" s="784" t="s">
        <v>650</v>
      </c>
      <c r="C16" s="53">
        <f ca="1">ROUND(INDIRECT("'数据-取费表'!m"&amp;$G$1)*F16,0)</f>
        <v>0</v>
      </c>
      <c r="D16" s="784" t="s">
        <v>648</v>
      </c>
      <c r="E16" s="784" t="s">
        <v>649</v>
      </c>
      <c r="F16" s="809">
        <f ca="1">IF(INDIRECT("'数据-取费表'!c"&amp;$G$1)="住宅",'数据-取费表'!B34,0)</f>
        <v>0</v>
      </c>
      <c r="G16" s="1578"/>
      <c r="H16" s="1812" t="s">
        <v>7</v>
      </c>
      <c r="I16" s="1810" t="s">
        <v>651</v>
      </c>
      <c r="J16" s="792">
        <f ca="1">ROUND(J17+J22+J23+J24,0)</f>
        <v>797</v>
      </c>
      <c r="K16" s="1804" t="s">
        <v>652</v>
      </c>
      <c r="L16" s="3209"/>
      <c r="M16" s="2453"/>
    </row>
    <row r="17" spans="1:33" s="2047" customFormat="1" ht="18" customHeight="1">
      <c r="A17" s="1633" t="s">
        <v>1886</v>
      </c>
      <c r="B17" s="784" t="s">
        <v>653</v>
      </c>
      <c r="C17" s="53">
        <f ca="1">ROUND(F17*(F43+INDIRECT("'数据-取费表'!S"&amp;$G$1))/10000,0)</f>
        <v>711</v>
      </c>
      <c r="D17" s="784" t="s">
        <v>654</v>
      </c>
      <c r="E17" s="784" t="s">
        <v>655</v>
      </c>
      <c r="F17" s="56">
        <f>'数据-取费表'!B35</f>
        <v>200</v>
      </c>
      <c r="G17" s="1579"/>
      <c r="H17" s="1634" t="s">
        <v>1823</v>
      </c>
      <c r="I17" s="784" t="s">
        <v>656</v>
      </c>
      <c r="J17" s="53">
        <f ca="1">ROUND(IF(项目基本情况!B11="自然人",J6*M17/(1+'数据-取费表'!C42),J18+J19+J20),0)</f>
        <v>752</v>
      </c>
      <c r="K17" s="3207" t="s">
        <v>657</v>
      </c>
      <c r="L17" s="3206" t="s">
        <v>658</v>
      </c>
      <c r="M17" s="810"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3" t="s">
        <v>1887</v>
      </c>
      <c r="B18" s="784" t="s">
        <v>659</v>
      </c>
      <c r="C18" s="53">
        <f ca="1">ROUND(C14*F18,0)</f>
        <v>96</v>
      </c>
      <c r="D18" s="784" t="s">
        <v>648</v>
      </c>
      <c r="E18" s="784" t="s">
        <v>649</v>
      </c>
      <c r="F18" s="809">
        <f>'数据-取费表'!B36</f>
        <v>1.4999999999999999E-2</v>
      </c>
      <c r="G18" s="1579"/>
      <c r="H18" s="1633" t="s">
        <v>1830</v>
      </c>
      <c r="I18" s="784" t="s">
        <v>660</v>
      </c>
      <c r="J18" s="53">
        <f ca="1">ROUND(J6*M18/(1+'数据-取费表'!C42),1)</f>
        <v>0</v>
      </c>
      <c r="K18" s="3206" t="s">
        <v>661</v>
      </c>
      <c r="L18" s="784" t="s">
        <v>649</v>
      </c>
      <c r="M18" s="809">
        <f>'数据-取费表'!B41</f>
        <v>5.5000000000000007E-2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4" t="s">
        <v>1823</v>
      </c>
      <c r="B19" s="784" t="s">
        <v>662</v>
      </c>
      <c r="C19" s="53">
        <f ca="1">SUM(C14:C18)</f>
        <v>7395</v>
      </c>
      <c r="D19" s="261" t="s">
        <v>663</v>
      </c>
      <c r="E19" s="3211"/>
      <c r="F19" s="56"/>
      <c r="G19" s="1578"/>
      <c r="H19" s="1633" t="s">
        <v>1831</v>
      </c>
      <c r="I19" s="784" t="s">
        <v>664</v>
      </c>
      <c r="J19" s="53">
        <f ca="1">IF(K19="按租金收入计税",ROUND(J6*M19/(1+'数据-取费表'!C42),1),ROUND(C29*F33*0.7,1))</f>
        <v>751.2</v>
      </c>
      <c r="K19" s="811" t="s">
        <v>665</v>
      </c>
      <c r="L19" s="784" t="s">
        <v>649</v>
      </c>
      <c r="M19" s="809">
        <f>IF(K19="按租金收入计税",'数据-取费表'!B51,'数据-取费表'!B50)</f>
        <v>1.2E-2</v>
      </c>
    </row>
    <row r="20" spans="1:33" s="2047" customFormat="1" ht="18" customHeight="1">
      <c r="A20" s="1634" t="s">
        <v>1888</v>
      </c>
      <c r="B20" s="784" t="s">
        <v>666</v>
      </c>
      <c r="C20" s="53">
        <f ca="1">ROUND(C19*F20,0)</f>
        <v>148</v>
      </c>
      <c r="D20" s="812" t="s">
        <v>667</v>
      </c>
      <c r="E20" s="784" t="s">
        <v>649</v>
      </c>
      <c r="F20" s="809">
        <f>'数据-取费表'!B37</f>
        <v>0.02</v>
      </c>
      <c r="G20" s="1579"/>
      <c r="H20" s="1636" t="s">
        <v>1832</v>
      </c>
      <c r="I20" s="341" t="s">
        <v>668</v>
      </c>
      <c r="J20" s="54">
        <f ca="1">ROUND(M20*M21/10000,0)</f>
        <v>1</v>
      </c>
      <c r="K20" s="814" t="s">
        <v>669</v>
      </c>
      <c r="L20" s="784" t="s">
        <v>670</v>
      </c>
      <c r="M20" s="640">
        <f>'数据-取费表'!B52</f>
        <v>3</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4" t="s">
        <v>1889</v>
      </c>
      <c r="B21" s="784" t="s">
        <v>671</v>
      </c>
      <c r="C21" s="53" t="s">
        <v>1</v>
      </c>
      <c r="D21" s="812" t="s">
        <v>2295</v>
      </c>
      <c r="E21" s="784" t="s">
        <v>673</v>
      </c>
      <c r="F21" s="809">
        <f>'数据-取费表'!B38</f>
        <v>0.02</v>
      </c>
      <c r="G21" s="1579"/>
      <c r="H21" s="2468"/>
      <c r="I21" s="793"/>
      <c r="J21" s="69"/>
      <c r="K21" s="816"/>
      <c r="L21" s="784" t="s">
        <v>674</v>
      </c>
      <c r="M21" s="785">
        <f ca="1">INDIRECT("'数据-取费表'!r"&amp;$G$1)</f>
        <v>4724.41</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4" t="s">
        <v>1890</v>
      </c>
      <c r="B22" s="784" t="s">
        <v>675</v>
      </c>
      <c r="C22" s="53"/>
      <c r="D22" s="2534" t="str">
        <f>IF(F23&lt;=1,"单利计息。","复利计息。")&amp;"建造成本、管理费用、销售费用产生的利息。"</f>
        <v>复利计息。建造成本、管理费用、销售费用产生的利息。</v>
      </c>
      <c r="E22" s="3211"/>
      <c r="F22" s="56"/>
      <c r="G22" s="1578"/>
      <c r="H22" s="1634" t="s">
        <v>1888</v>
      </c>
      <c r="I22" s="784" t="s">
        <v>676</v>
      </c>
      <c r="J22" s="53">
        <f ca="1">ROUND(J14*M22,0)</f>
        <v>45</v>
      </c>
      <c r="K22" s="3206" t="s">
        <v>677</v>
      </c>
      <c r="L22" s="784" t="s">
        <v>649</v>
      </c>
      <c r="M22" s="817">
        <f ca="1">INDIRECT("'数据-取费表'!Ak"&amp;$G$1)</f>
        <v>5.0000000000000001E-3</v>
      </c>
    </row>
    <row r="23" spans="1:33" s="2047" customFormat="1" ht="18" customHeight="1">
      <c r="A23" s="1633" t="s">
        <v>1830</v>
      </c>
      <c r="B23" s="784" t="s">
        <v>2434</v>
      </c>
      <c r="C23" s="53">
        <f ca="1">ROUND(IF('数据-取费表'!B22&lt;=1,(C19+C20)*F24*F23/2,(C19+C20)*(POWER((1+F24),F23/2)-1)),0)</f>
        <v>358</v>
      </c>
      <c r="D23" s="2533" t="str">
        <f>IF(F23&lt;=1,"(建造成本+管理费用)×利率×(建设周期÷2)","(建造成本+管理费用)×((1+利率)^(建设周期÷2)-1)")</f>
        <v>(建造成本+管理费用)×((1+利率)^(建设周期÷2)-1)</v>
      </c>
      <c r="E23" s="784" t="s">
        <v>678</v>
      </c>
      <c r="F23" s="640">
        <f>'数据-取费表'!B20</f>
        <v>2</v>
      </c>
      <c r="G23" s="1579"/>
      <c r="H23" s="1634" t="s">
        <v>1889</v>
      </c>
      <c r="I23" s="784" t="s">
        <v>679</v>
      </c>
      <c r="J23" s="53">
        <f ca="1">ROUND(J13*M23,0)</f>
        <v>0</v>
      </c>
      <c r="K23" s="3206" t="s">
        <v>680</v>
      </c>
      <c r="L23" s="784" t="s">
        <v>649</v>
      </c>
      <c r="M23" s="818">
        <f ca="1">INDIRECT("'数据-取费表'!Al"&amp;$G$1)</f>
        <v>1.5E-3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3" t="s">
        <v>1831</v>
      </c>
      <c r="B24" s="784" t="s">
        <v>681</v>
      </c>
      <c r="C24" s="53">
        <f ca="1">ROUND(IF('数据-取费表'!B22&lt;=1,F21*F24*F23/2,F21*(POWER((1+F24),F23/2)-1)),4)</f>
        <v>1E-3</v>
      </c>
      <c r="D24" s="2533" t="str">
        <f>IF(F23&lt;=1,"销售费用×利率×(建设周期÷2)","销售费用×((1+利率)^(建设周期÷2)-1)")</f>
        <v>销售费用×((1+利率)^(建设周期÷2)-1)</v>
      </c>
      <c r="E24" s="784" t="s">
        <v>682</v>
      </c>
      <c r="F24" s="819">
        <f ca="1">'数据-取费表'!B40</f>
        <v>4.7500000000000001E-2</v>
      </c>
      <c r="G24" s="1579"/>
      <c r="H24" s="2513" t="s">
        <v>1890</v>
      </c>
      <c r="I24" s="2508" t="s">
        <v>666</v>
      </c>
      <c r="J24" s="2506">
        <f ca="1">ROUND(J5*M24,0)</f>
        <v>0</v>
      </c>
      <c r="K24" s="2507" t="s">
        <v>683</v>
      </c>
      <c r="L24" s="2508" t="s">
        <v>649</v>
      </c>
      <c r="M24" s="2504">
        <f ca="1">INDIRECT("'数据-取费表'!Am"&amp;$G$1)</f>
        <v>0.05</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5" t="s">
        <v>1839</v>
      </c>
      <c r="B25" s="784" t="s">
        <v>684</v>
      </c>
      <c r="C25" s="53"/>
      <c r="D25" s="261" t="s">
        <v>685</v>
      </c>
      <c r="E25" s="3211"/>
      <c r="F25" s="56"/>
      <c r="G25" s="1578"/>
      <c r="H25" s="1812" t="s">
        <v>1775</v>
      </c>
      <c r="I25" s="2960" t="s">
        <v>2818</v>
      </c>
      <c r="J25" s="792">
        <f ca="1">J5-J16</f>
        <v>-797</v>
      </c>
      <c r="K25" s="2510" t="s">
        <v>700</v>
      </c>
      <c r="L25" s="2511"/>
      <c r="M25" s="2512"/>
    </row>
    <row r="26" spans="1:33" ht="18" customHeight="1">
      <c r="A26" s="1633" t="s">
        <v>1830</v>
      </c>
      <c r="B26" s="784" t="s">
        <v>2435</v>
      </c>
      <c r="C26" s="53">
        <f ca="1">ROUND((C19+C20)*F26,0)</f>
        <v>377</v>
      </c>
      <c r="D26" s="812" t="s">
        <v>701</v>
      </c>
      <c r="E26" s="795" t="s">
        <v>702</v>
      </c>
      <c r="F26" s="794">
        <f ca="1">INDIRECT("'数据-取费表'!q"&amp;$G$1)</f>
        <v>0.05</v>
      </c>
      <c r="G26" s="1578"/>
      <c r="H26" s="2464" t="s">
        <v>1779</v>
      </c>
      <c r="I26" s="2215" t="s">
        <v>2823</v>
      </c>
      <c r="J26" s="783">
        <f ca="1">IF(J5&lt;&gt;0,ROUND(J25*(1-((1+M28)/(1+M26))^M27)/(M26-M28),0),0)</f>
        <v>0</v>
      </c>
      <c r="K26" s="814" t="s">
        <v>704</v>
      </c>
      <c r="L26" s="784" t="s">
        <v>2416</v>
      </c>
      <c r="M26" s="794">
        <f ca="1">INDIRECT("'数据-取费表'!I"&amp;$G$1)</f>
        <v>4.4999999999999998E-2</v>
      </c>
    </row>
    <row r="27" spans="1:33" ht="18" customHeight="1">
      <c r="A27" s="1633" t="s">
        <v>1831</v>
      </c>
      <c r="B27" s="784" t="s">
        <v>686</v>
      </c>
      <c r="C27" s="53">
        <f ca="1">ROUND(F21*F26,4)</f>
        <v>1E-3</v>
      </c>
      <c r="D27" s="812" t="s">
        <v>706</v>
      </c>
      <c r="E27" s="806"/>
      <c r="F27" s="807"/>
      <c r="G27" s="1578"/>
      <c r="H27" s="2465"/>
      <c r="I27" s="787"/>
      <c r="J27" s="788"/>
      <c r="K27" s="821" t="s">
        <v>707</v>
      </c>
      <c r="L27" s="784" t="s">
        <v>708</v>
      </c>
      <c r="M27" s="822">
        <f ca="1">INDIRECT("'数据-取费表'!ag"&amp;$G$1)</f>
        <v>0</v>
      </c>
    </row>
    <row r="28" spans="1:33" s="2047" customFormat="1" ht="18" customHeight="1">
      <c r="A28" s="1635" t="s">
        <v>1840</v>
      </c>
      <c r="B28" s="784" t="s">
        <v>687</v>
      </c>
      <c r="C28" s="53">
        <f>ROUND(F28/(1+'数据-取费表'!C42),4)</f>
        <v>5.2400000000000002E-2</v>
      </c>
      <c r="D28" s="812" t="s">
        <v>2296</v>
      </c>
      <c r="E28" s="784" t="s">
        <v>649</v>
      </c>
      <c r="F28" s="809">
        <f>'数据-取费表'!B41</f>
        <v>5.5000000000000007E-2</v>
      </c>
      <c r="G28" s="1579"/>
      <c r="H28" s="1812"/>
      <c r="I28" s="791"/>
      <c r="J28" s="792"/>
      <c r="K28" s="816"/>
      <c r="L28" s="784" t="s">
        <v>710</v>
      </c>
      <c r="M28" s="794">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1891</v>
      </c>
      <c r="B29" s="2503" t="s">
        <v>2297</v>
      </c>
      <c r="C29" s="2506">
        <f ca="1">ROUND((C19+C20+C23+C26)/(1-F21-C24-C27-C28),0)</f>
        <v>8943</v>
      </c>
      <c r="D29" s="2507"/>
      <c r="E29" s="2508"/>
      <c r="F29" s="2509"/>
      <c r="G29" s="1579"/>
      <c r="H29" s="823" t="s">
        <v>1786</v>
      </c>
      <c r="I29" s="824" t="s">
        <v>1787</v>
      </c>
      <c r="J29" s="825">
        <f ca="1">ROUND(J26/(1+F40)^F41,0)</f>
        <v>0</v>
      </c>
      <c r="K29" s="826" t="s">
        <v>688</v>
      </c>
      <c r="L29" s="827"/>
      <c r="M29" s="828">
        <f ca="1">INDIRECT("'数据-取费表'!k"&amp;$G$1)</f>
        <v>34630.9</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7</v>
      </c>
      <c r="B30" s="1810" t="s">
        <v>651</v>
      </c>
      <c r="C30" s="792">
        <f ca="1">ROUND(C31+C36+C37+C38,0)</f>
        <v>146</v>
      </c>
      <c r="D30" s="1804" t="s">
        <v>652</v>
      </c>
      <c r="E30" s="3209"/>
      <c r="F30" s="2453"/>
      <c r="G30" s="2045"/>
      <c r="H30" s="2048"/>
      <c r="I30" s="2049"/>
      <c r="J30" s="2050"/>
      <c r="K30" s="2051"/>
      <c r="L30" s="2052"/>
      <c r="M30" s="2053"/>
    </row>
    <row r="31" spans="1:33" ht="18" customHeight="1">
      <c r="A31" s="1634" t="s">
        <v>1823</v>
      </c>
      <c r="B31" s="784" t="s">
        <v>656</v>
      </c>
      <c r="C31" s="53">
        <f ca="1">ROUND(IF(项目基本情况!B11="自然人",C6*F31/(1+'数据-取费表'!C42),C32+C33+C34),1)</f>
        <v>67.599999999999994</v>
      </c>
      <c r="D31" s="3207" t="s">
        <v>657</v>
      </c>
      <c r="E31" s="3206" t="s">
        <v>690</v>
      </c>
      <c r="F31" s="810" t="str">
        <f ca="1">IF(项目基本情况!B11="企业","",IF(INDIRECT("'数据-取费表'!c"&amp;$G$1)="住宅",5%,IF(F6*F7*F8/12/(1+'数据-取费表'!C42)&gt;20000,12%,7%)))</f>
        <v/>
      </c>
      <c r="G31" s="2045"/>
      <c r="H31" s="2048"/>
      <c r="I31" s="2049"/>
      <c r="J31" s="2050"/>
      <c r="K31" s="2051"/>
      <c r="L31" s="2052"/>
      <c r="M31" s="2053"/>
    </row>
    <row r="32" spans="1:33" ht="18" customHeight="1">
      <c r="A32" s="1633" t="s">
        <v>1830</v>
      </c>
      <c r="B32" s="784" t="s">
        <v>660</v>
      </c>
      <c r="C32" s="53">
        <f ca="1">ROUND(C6*F32/(1+'数据-取费表'!C42),1)</f>
        <v>20.8</v>
      </c>
      <c r="D32" s="3206" t="s">
        <v>661</v>
      </c>
      <c r="E32" s="784" t="s">
        <v>649</v>
      </c>
      <c r="F32" s="809">
        <f>'数据-取费表'!B41</f>
        <v>5.5000000000000007E-2</v>
      </c>
      <c r="G32" s="2045"/>
      <c r="H32" s="2054"/>
      <c r="I32" s="2055"/>
      <c r="J32" s="2056"/>
      <c r="K32" s="2057"/>
      <c r="L32" s="2058"/>
      <c r="M32" s="2059"/>
    </row>
    <row r="33" spans="1:18" ht="18" customHeight="1">
      <c r="A33" s="1633" t="s">
        <v>1831</v>
      </c>
      <c r="B33" s="784" t="s">
        <v>664</v>
      </c>
      <c r="C33" s="53">
        <f ca="1">IF(D33="按租金收入计税",ROUND(C6*F33/(1+'数据-取费表'!C42),1),IF(D33="按房产原值计税",ROUND(C29*F33*0.7,1),INDIRECT("'数据-取费表'!Aj"&amp;$G$1)))</f>
        <v>45.4</v>
      </c>
      <c r="D33" s="811" t="s">
        <v>3186</v>
      </c>
      <c r="E33" s="784" t="s">
        <v>649</v>
      </c>
      <c r="F33" s="809">
        <f>IF(D33="按租金收入计税",'数据-取费表'!B51,'数据-取费表'!B50)</f>
        <v>0.12</v>
      </c>
      <c r="G33" s="2045"/>
      <c r="H33" s="2060"/>
      <c r="I33" s="2060"/>
      <c r="J33" s="2060"/>
      <c r="K33" s="2061"/>
      <c r="L33" s="2060"/>
      <c r="M33" s="2060"/>
    </row>
    <row r="34" spans="1:18" ht="18" customHeight="1">
      <c r="A34" s="1636" t="s">
        <v>1832</v>
      </c>
      <c r="B34" s="341" t="s">
        <v>668</v>
      </c>
      <c r="C34" s="54">
        <f ca="1">ROUND(F34*F35/10000,1)</f>
        <v>1.4</v>
      </c>
      <c r="D34" s="814" t="s">
        <v>669</v>
      </c>
      <c r="E34" s="784" t="s">
        <v>670</v>
      </c>
      <c r="F34" s="640">
        <f>'数据-取费表'!B52</f>
        <v>3</v>
      </c>
      <c r="G34" s="2045"/>
      <c r="H34" s="2048"/>
      <c r="I34" s="835" t="s">
        <v>1812</v>
      </c>
      <c r="J34" s="836"/>
      <c r="K34" s="2063"/>
      <c r="L34" s="2062"/>
      <c r="M34" s="2062"/>
    </row>
    <row r="35" spans="1:18" ht="18" customHeight="1">
      <c r="A35" s="815"/>
      <c r="B35" s="793"/>
      <c r="C35" s="69"/>
      <c r="D35" s="816"/>
      <c r="E35" s="784" t="s">
        <v>674</v>
      </c>
      <c r="F35" s="785">
        <f ca="1">INDIRECT("'数据-取费表'!r"&amp;$G$1)</f>
        <v>4724.41</v>
      </c>
      <c r="G35" s="2045"/>
      <c r="H35" s="2048"/>
      <c r="I35" s="837" t="s">
        <v>1813</v>
      </c>
      <c r="J35" s="838">
        <f ca="1">ROUND(C13*J36,0)</f>
        <v>715</v>
      </c>
      <c r="K35" s="2061"/>
      <c r="L35" s="2060"/>
      <c r="M35" s="2060"/>
    </row>
    <row r="36" spans="1:18" ht="18" customHeight="1">
      <c r="A36" s="1634" t="s">
        <v>1888</v>
      </c>
      <c r="B36" s="784" t="s">
        <v>676</v>
      </c>
      <c r="C36" s="53">
        <f ca="1">ROUND(C29*F36,1)</f>
        <v>44.7</v>
      </c>
      <c r="D36" s="3206" t="s">
        <v>691</v>
      </c>
      <c r="E36" s="784" t="s">
        <v>649</v>
      </c>
      <c r="F36" s="817">
        <f ca="1">INDIRECT("'数据-取费表'!Ak"&amp;$G$1)</f>
        <v>5.0000000000000001E-3</v>
      </c>
      <c r="G36" s="2045"/>
      <c r="H36" s="2060"/>
      <c r="I36" s="839" t="s">
        <v>1814</v>
      </c>
      <c r="J36" s="840">
        <f ca="1">INDIRECT("'数据-取费表'!j"&amp;$G$1)</f>
        <v>0.08</v>
      </c>
      <c r="K36" s="2065"/>
      <c r="L36" s="2060"/>
      <c r="M36" s="2060"/>
    </row>
    <row r="37" spans="1:18" ht="18" customHeight="1">
      <c r="A37" s="1634" t="s">
        <v>1889</v>
      </c>
      <c r="B37" s="784" t="s">
        <v>679</v>
      </c>
      <c r="C37" s="53">
        <f ca="1">ROUND(C13*F37,1)</f>
        <v>13.4</v>
      </c>
      <c r="D37" s="3206" t="s">
        <v>680</v>
      </c>
      <c r="E37" s="784" t="s">
        <v>649</v>
      </c>
      <c r="F37" s="818">
        <f ca="1">INDIRECT("'数据-取费表'!Al"&amp;$G$1)</f>
        <v>1.5E-3</v>
      </c>
      <c r="G37" s="2045"/>
      <c r="H37" s="2060"/>
      <c r="I37" s="841" t="s">
        <v>1815</v>
      </c>
      <c r="J37" s="842"/>
      <c r="K37" s="2065"/>
      <c r="L37" s="2060"/>
      <c r="M37" s="2060"/>
    </row>
    <row r="38" spans="1:18" ht="18" customHeight="1" thickBot="1">
      <c r="A38" s="2513" t="s">
        <v>1890</v>
      </c>
      <c r="B38" s="2508" t="s">
        <v>666</v>
      </c>
      <c r="C38" s="2506">
        <f ca="1">ROUND(C5*F38,1)</f>
        <v>19.899999999999999</v>
      </c>
      <c r="D38" s="2507" t="s">
        <v>683</v>
      </c>
      <c r="E38" s="2508" t="s">
        <v>649</v>
      </c>
      <c r="F38" s="2504">
        <f ca="1">INDIRECT("'数据-取费表'!Am"&amp;$G$1)</f>
        <v>0.05</v>
      </c>
      <c r="G38" s="2045"/>
      <c r="H38" s="2060">
        <f ca="1">(C36+C37+C38)/12/面积!J26*10000</f>
        <v>75.057736720554274</v>
      </c>
      <c r="I38" s="843" t="s">
        <v>1816</v>
      </c>
      <c r="J38" s="844"/>
      <c r="K38" s="2066"/>
      <c r="L38" s="2060"/>
      <c r="M38" s="2060"/>
    </row>
    <row r="39" spans="1:18" ht="24.6" customHeight="1" thickTop="1">
      <c r="A39" s="1812" t="s">
        <v>1775</v>
      </c>
      <c r="B39" s="2960" t="s">
        <v>2818</v>
      </c>
      <c r="C39" s="792">
        <f ca="1">C5-C30</f>
        <v>251</v>
      </c>
      <c r="D39" s="2510" t="s">
        <v>700</v>
      </c>
      <c r="E39" s="2511"/>
      <c r="F39" s="2512"/>
      <c r="G39" s="2045"/>
      <c r="H39" s="2060"/>
      <c r="I39" s="837" t="s">
        <v>1817</v>
      </c>
      <c r="J39" s="845">
        <f ca="1">ROUND(J35/C39,3)</f>
        <v>2.8490000000000002</v>
      </c>
      <c r="K39" s="2066"/>
      <c r="L39" s="2060"/>
      <c r="M39" s="2060"/>
    </row>
    <row r="40" spans="1:18" ht="18" customHeight="1">
      <c r="A40" s="781" t="s">
        <v>1779</v>
      </c>
      <c r="B40" s="2215" t="s">
        <v>2298</v>
      </c>
      <c r="C40" s="783">
        <f ca="1">ROUND(C39*(1-((1+F42)/(1+F40))^F41)/(F40-F42),0)</f>
        <v>5444</v>
      </c>
      <c r="D40" s="814" t="s">
        <v>704</v>
      </c>
      <c r="E40" s="784" t="s">
        <v>2416</v>
      </c>
      <c r="F40" s="794">
        <f ca="1">INDIRECT("'数据-取费表'!I"&amp;$G$1)</f>
        <v>4.4999999999999998E-2</v>
      </c>
      <c r="G40" s="2045"/>
      <c r="H40" s="2045"/>
      <c r="I40" s="837" t="s">
        <v>1818</v>
      </c>
      <c r="J40" s="845">
        <f ca="1">1-J39</f>
        <v>-1.8490000000000002</v>
      </c>
      <c r="K40" s="2066"/>
      <c r="L40" s="2045"/>
      <c r="M40" s="2045"/>
    </row>
    <row r="41" spans="1:18" ht="18" customHeight="1">
      <c r="A41" s="786"/>
      <c r="B41" s="787"/>
      <c r="C41" s="788"/>
      <c r="D41" s="821" t="s">
        <v>1807</v>
      </c>
      <c r="E41" s="784" t="s">
        <v>708</v>
      </c>
      <c r="F41" s="822">
        <f ca="1">IF(INDIRECT("'数据-取费表'!af"&amp;$G$1)=0,INDIRECT("'数据-取费表'!ae"&amp;$G$1),INDIRECT("'数据-取费表'!af"&amp;$G$1))</f>
        <v>41.79</v>
      </c>
      <c r="G41" s="2045"/>
      <c r="H41" s="1971"/>
      <c r="I41" s="843" t="s">
        <v>1819</v>
      </c>
      <c r="J41" s="846"/>
      <c r="K41" s="2065"/>
      <c r="L41" s="1971"/>
      <c r="M41" s="1971"/>
    </row>
    <row r="42" spans="1:18" ht="18" customHeight="1">
      <c r="A42" s="790"/>
      <c r="B42" s="791"/>
      <c r="C42" s="792"/>
      <c r="D42" s="816"/>
      <c r="E42" s="784" t="s">
        <v>710</v>
      </c>
      <c r="F42" s="794">
        <f ca="1">INDIRECT("'数据-取费表'!v"&amp;$G$1)</f>
        <v>0.01</v>
      </c>
      <c r="G42" s="2045"/>
      <c r="H42" s="1971"/>
      <c r="I42" s="847" t="s">
        <v>1820</v>
      </c>
      <c r="J42" s="845">
        <f ca="1">ROUND(C13/C40,3)</f>
        <v>1.643</v>
      </c>
      <c r="K42" s="2065"/>
      <c r="L42" s="1971"/>
      <c r="M42" s="1971"/>
    </row>
    <row r="43" spans="1:18" ht="18" customHeight="1" thickBot="1">
      <c r="A43" s="823" t="s">
        <v>1786</v>
      </c>
      <c r="B43" s="824" t="s">
        <v>1809</v>
      </c>
      <c r="C43" s="825">
        <f ca="1">ROUND(C40*10000/F43,0)</f>
        <v>1572</v>
      </c>
      <c r="D43" s="826" t="s">
        <v>1810</v>
      </c>
      <c r="E43" s="827" t="s">
        <v>1811</v>
      </c>
      <c r="F43" s="828">
        <f ca="1">INDIRECT("'数据-取费表'!k"&amp;$G$1)</f>
        <v>34630.9</v>
      </c>
      <c r="G43" s="2045"/>
      <c r="H43" s="1971"/>
      <c r="I43" s="847" t="s">
        <v>1821</v>
      </c>
      <c r="J43" s="848">
        <f ca="1">1-J42</f>
        <v>-0.64300000000000002</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2292</v>
      </c>
      <c r="B46" s="2068"/>
      <c r="C46" s="2536">
        <f ca="1">C67-C40</f>
        <v>-6565</v>
      </c>
      <c r="D46" s="2068"/>
      <c r="E46" s="2068"/>
      <c r="F46" s="2068"/>
      <c r="I46" s="2340" t="s">
        <v>2340</v>
      </c>
      <c r="J46" s="2341"/>
      <c r="K46" s="2342"/>
      <c r="L46" s="3103">
        <f>IF(OR(M47="住宅",D1="土地（套用方法）"),0,IF(L48&gt;J51,L60,J60))</f>
        <v>0</v>
      </c>
      <c r="O46" s="2356" t="s">
        <v>2407</v>
      </c>
      <c r="P46" s="1578"/>
      <c r="Q46" s="1589"/>
      <c r="R46" s="1578"/>
    </row>
    <row r="47" spans="1:18" s="2042" customFormat="1" ht="18" customHeight="1" thickBot="1">
      <c r="A47" s="2334">
        <v>1</v>
      </c>
      <c r="B47" s="2335" t="s">
        <v>635</v>
      </c>
      <c r="C47" s="2536">
        <f ca="1">C48+C52+C54</f>
        <v>0</v>
      </c>
      <c r="D47" s="2068"/>
      <c r="E47" s="2068"/>
      <c r="F47" s="2068"/>
      <c r="I47" s="3094" t="s">
        <v>2341</v>
      </c>
      <c r="J47" s="2343" t="s">
        <v>3187</v>
      </c>
      <c r="K47" s="3100" t="s">
        <v>2346</v>
      </c>
      <c r="L47" s="3104">
        <f ca="1">INDIRECT("'数据-取费表'!d"&amp;$G$1)</f>
        <v>50</v>
      </c>
      <c r="M47" s="1589" t="str">
        <f>IF(ISNUMBER(FIND("住宅",C1)),"住宅","非住宅")</f>
        <v>非住宅</v>
      </c>
      <c r="O47" s="2357" t="s">
        <v>2372</v>
      </c>
      <c r="P47" s="2358" t="s">
        <v>2373</v>
      </c>
      <c r="Q47" s="2359" t="s">
        <v>2374</v>
      </c>
      <c r="R47" s="2358" t="s">
        <v>2375</v>
      </c>
    </row>
    <row r="48" spans="1:18" s="2042" customFormat="1" ht="18" customHeight="1" thickBot="1">
      <c r="A48" s="2604" t="s">
        <v>1869</v>
      </c>
      <c r="B48" s="2605" t="s">
        <v>2535</v>
      </c>
      <c r="C48" s="2336">
        <f ca="1">ROUND(F48*F50*F49*(1-F51)/10000,0)</f>
        <v>0</v>
      </c>
      <c r="D48" s="2337" t="s">
        <v>636</v>
      </c>
      <c r="E48" s="2338" t="s">
        <v>2293</v>
      </c>
      <c r="F48" s="2339"/>
      <c r="G48" s="2073"/>
      <c r="I48" s="3073" t="s">
        <v>2342</v>
      </c>
      <c r="J48" s="2344" t="s">
        <v>2347</v>
      </c>
      <c r="K48" s="3101" t="s">
        <v>2348</v>
      </c>
      <c r="L48" s="1891">
        <f ca="1">INDIRECT("'数据-取费表'!f"&amp;$G$1)</f>
        <v>43.79</v>
      </c>
      <c r="O48" s="2360" t="s">
        <v>2376</v>
      </c>
      <c r="P48" s="2361" t="s">
        <v>2402</v>
      </c>
      <c r="Q48" s="2362">
        <f ca="1">C40+J29</f>
        <v>5444</v>
      </c>
      <c r="R48" s="2361" t="s">
        <v>2377</v>
      </c>
    </row>
    <row r="49" spans="1:18" s="2042" customFormat="1" ht="18" customHeight="1" thickBot="1">
      <c r="A49" s="786"/>
      <c r="B49" s="787"/>
      <c r="C49" s="788"/>
      <c r="D49" s="789"/>
      <c r="E49" s="784" t="s">
        <v>638</v>
      </c>
      <c r="F49" s="785">
        <f ca="1">F7</f>
        <v>866</v>
      </c>
      <c r="G49" s="2073"/>
      <c r="H49" s="2076"/>
      <c r="I49" s="3073" t="s">
        <v>2343</v>
      </c>
      <c r="J49" s="2345">
        <v>2020</v>
      </c>
      <c r="K49" s="3102" t="s">
        <v>2349</v>
      </c>
      <c r="L49" s="2346"/>
      <c r="O49" s="2360" t="s">
        <v>2378</v>
      </c>
      <c r="P49" s="2361" t="s">
        <v>2403</v>
      </c>
      <c r="Q49" s="2362" t="str">
        <f ca="1">J60</f>
        <v>0</v>
      </c>
      <c r="R49" s="2361" t="s">
        <v>2379</v>
      </c>
    </row>
    <row r="50" spans="1:18" s="2042" customFormat="1" ht="18" customHeight="1" thickBot="1">
      <c r="A50" s="786"/>
      <c r="B50" s="787"/>
      <c r="C50" s="788"/>
      <c r="D50" s="789"/>
      <c r="E50" s="784" t="s">
        <v>639</v>
      </c>
      <c r="F50" s="785">
        <f ca="1">F8</f>
        <v>12</v>
      </c>
      <c r="G50" s="2078"/>
      <c r="H50" s="2076"/>
      <c r="I50" s="3073" t="s">
        <v>2344</v>
      </c>
      <c r="J50" s="3098">
        <f>SUMPRODUCT((I63:I65=J47)*(J62:L62=J48)*(J63:L65))</f>
        <v>60</v>
      </c>
      <c r="K50" s="3102" t="s">
        <v>2350</v>
      </c>
      <c r="L50" s="2346"/>
      <c r="O50" s="2363" t="s">
        <v>2380</v>
      </c>
      <c r="P50" s="2361" t="s">
        <v>2404</v>
      </c>
      <c r="Q50" s="2362">
        <f ca="1">C29</f>
        <v>8943</v>
      </c>
      <c r="R50" s="2361" t="s">
        <v>2377</v>
      </c>
    </row>
    <row r="51" spans="1:18" s="2042" customFormat="1" ht="18" customHeight="1" thickBot="1">
      <c r="A51" s="786"/>
      <c r="B51" s="787"/>
      <c r="C51" s="788"/>
      <c r="D51" s="789"/>
      <c r="E51" s="784" t="s">
        <v>640</v>
      </c>
      <c r="F51" s="2333"/>
      <c r="H51" s="2076"/>
      <c r="I51" s="3095" t="s">
        <v>2345</v>
      </c>
      <c r="J51" s="3099">
        <f>IF(J49="",J50,J49+J50-YEAR('数据-取费表'!B2))</f>
        <v>60</v>
      </c>
      <c r="K51" s="3073" t="s">
        <v>2351</v>
      </c>
      <c r="L51" s="3105">
        <f ca="1">ROUND(-PV(INDIRECT("'数据-取费表'!h"&amp;$G$1),L48,(C39-C13*J36),0),0)</f>
        <v>-9527</v>
      </c>
      <c r="O51" s="2363" t="s">
        <v>2381</v>
      </c>
      <c r="P51" s="2361" t="s">
        <v>2382</v>
      </c>
      <c r="Q51" s="2364" t="e">
        <f ca="1">J58</f>
        <v>#VALUE!</v>
      </c>
      <c r="R51" s="2365"/>
    </row>
    <row r="52" spans="1:18" s="2042" customFormat="1" ht="18" customHeight="1" thickBot="1">
      <c r="A52" s="781" t="s">
        <v>2533</v>
      </c>
      <c r="B52" s="2456" t="s">
        <v>2456</v>
      </c>
      <c r="C52" s="799">
        <f ca="1">ROUND(IF(F52="押一",C48/12*F11,IF(F52="押二",C48/12*2*F11,IF(F52="押三",C48/12*3*F11,C53*F11))),0)</f>
        <v>0</v>
      </c>
      <c r="D52" s="2463" t="s">
        <v>2967</v>
      </c>
      <c r="E52" s="2460" t="s">
        <v>2461</v>
      </c>
      <c r="F52" s="2583"/>
      <c r="I52" s="3096" t="s">
        <v>2418</v>
      </c>
      <c r="J52" s="2347">
        <v>8.5000000000000006E-2</v>
      </c>
      <c r="K52" s="3096" t="s">
        <v>2417</v>
      </c>
      <c r="L52" s="2347"/>
      <c r="O52" s="2363" t="s">
        <v>2383</v>
      </c>
      <c r="P52" s="2361" t="s">
        <v>2384</v>
      </c>
      <c r="Q52" s="2364">
        <f>J52</f>
        <v>8.5000000000000006E-2</v>
      </c>
      <c r="R52" s="2365"/>
    </row>
    <row r="53" spans="1:18" s="2042" customFormat="1" ht="39.75" customHeight="1" thickBot="1">
      <c r="A53" s="786"/>
      <c r="B53" s="2457" t="s">
        <v>2570</v>
      </c>
      <c r="C53" s="2461"/>
      <c r="D53" s="2463"/>
      <c r="E53" s="2460"/>
      <c r="F53" s="800"/>
      <c r="I53" s="3097" t="s">
        <v>2971</v>
      </c>
      <c r="J53" s="3176">
        <f ca="1">IF(M47="住宅",IF(D1="——",MAX(J51,L48),MAX(J51,L48-'数据-取费表'!B20)),IF(D1="——",MIN(J51,L48),MIN(J51,L48-'数据-取费表'!B20)))</f>
        <v>41.79</v>
      </c>
      <c r="K53" s="3595" t="s">
        <v>2959</v>
      </c>
      <c r="L53" s="3596"/>
      <c r="O53" s="2363" t="s">
        <v>2385</v>
      </c>
      <c r="P53" s="2361" t="s">
        <v>2386</v>
      </c>
      <c r="Q53" s="2362">
        <f ca="1">J53</f>
        <v>41.79</v>
      </c>
      <c r="R53" s="2361" t="s">
        <v>2387</v>
      </c>
    </row>
    <row r="54" spans="1:18" s="2042" customFormat="1" ht="18" customHeight="1" thickBot="1">
      <c r="A54" s="2499" t="s">
        <v>2464</v>
      </c>
      <c r="B54" s="2500" t="s">
        <v>2457</v>
      </c>
      <c r="C54" s="2501"/>
      <c r="D54" s="2463"/>
      <c r="E54" s="2460"/>
      <c r="F54" s="800"/>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2388</v>
      </c>
      <c r="P54" s="2361" t="s">
        <v>2405</v>
      </c>
      <c r="Q54" s="2362">
        <f ca="1">Q48+Q49</f>
        <v>5444</v>
      </c>
      <c r="R54" s="2365" t="s">
        <v>2389</v>
      </c>
    </row>
    <row r="55" spans="1:18" s="2042" customFormat="1" ht="18" customHeight="1" thickTop="1" thickBot="1">
      <c r="A55" s="797">
        <v>2</v>
      </c>
      <c r="B55" s="798" t="s">
        <v>644</v>
      </c>
      <c r="C55" s="799">
        <f ca="1">C13</f>
        <v>8943</v>
      </c>
      <c r="D55" s="795"/>
      <c r="E55" s="795"/>
      <c r="F55" s="800"/>
      <c r="I55" s="3108" t="s">
        <v>2352</v>
      </c>
      <c r="J55" s="3048" t="e">
        <f ca="1">ROUND(IF(J47="钢混",J57/J50,1-(1-2%)*(J50-J57)/J50),3)</f>
        <v>#VALUE!</v>
      </c>
      <c r="K55" s="3109" t="s">
        <v>2353</v>
      </c>
      <c r="L55" s="2348"/>
      <c r="O55" s="2366" t="s">
        <v>2408</v>
      </c>
      <c r="P55" s="1578"/>
      <c r="Q55" s="1589"/>
      <c r="R55" s="1578"/>
    </row>
    <row r="56" spans="1:18" s="2042" customFormat="1" ht="42.75" customHeight="1" thickBot="1">
      <c r="A56" s="1635"/>
      <c r="B56" s="2214" t="s">
        <v>2297</v>
      </c>
      <c r="C56" s="53">
        <f ca="1">C29</f>
        <v>8943</v>
      </c>
      <c r="D56" s="3206"/>
      <c r="E56" s="784"/>
      <c r="F56" s="809"/>
      <c r="I56" s="3110" t="s">
        <v>2354</v>
      </c>
      <c r="J56" s="3120" t="s">
        <v>1678</v>
      </c>
      <c r="K56" s="3073" t="s">
        <v>2359</v>
      </c>
      <c r="L56" s="1891" t="str">
        <f ca="1">IF(L48&lt;J51,"——",L48-J51)</f>
        <v>——</v>
      </c>
      <c r="O56" s="2357" t="s">
        <v>2372</v>
      </c>
      <c r="P56" s="2358" t="s">
        <v>2373</v>
      </c>
      <c r="Q56" s="2359" t="s">
        <v>2374</v>
      </c>
      <c r="R56" s="2358" t="s">
        <v>2375</v>
      </c>
    </row>
    <row r="57" spans="1:18" s="2042" customFormat="1" ht="28.5" customHeight="1" thickBot="1">
      <c r="A57" s="797" t="s">
        <v>7</v>
      </c>
      <c r="B57" s="798" t="s">
        <v>651</v>
      </c>
      <c r="C57" s="799">
        <f ca="1">ROUND(C58+C63+C64+C65,0)</f>
        <v>60</v>
      </c>
      <c r="D57" s="26" t="s">
        <v>652</v>
      </c>
      <c r="E57" s="3211"/>
      <c r="F57" s="56"/>
      <c r="I57" s="3111" t="s">
        <v>2355</v>
      </c>
      <c r="J57" s="3112" t="str">
        <f ca="1">IF(OR(M47="住宅",J51&lt;L48,J56="是"),"——",J51-L48)</f>
        <v>——</v>
      </c>
      <c r="K57" s="3073" t="s">
        <v>2360</v>
      </c>
      <c r="L57" s="1891" t="str">
        <f ca="1">IF(L48&lt;J51,"——",IF(L55="比较法",L49,IF(L55="基准地价",L50,L51)))</f>
        <v>——</v>
      </c>
      <c r="O57" s="2360" t="s">
        <v>2376</v>
      </c>
      <c r="P57" s="2361" t="s">
        <v>2402</v>
      </c>
      <c r="Q57" s="2362">
        <f ca="1">C40+J29</f>
        <v>5444</v>
      </c>
      <c r="R57" s="2361" t="s">
        <v>2377</v>
      </c>
    </row>
    <row r="58" spans="1:18" s="2042" customFormat="1" ht="28.5" customHeight="1" thickBot="1">
      <c r="A58" s="1634" t="s">
        <v>1823</v>
      </c>
      <c r="B58" s="784" t="s">
        <v>656</v>
      </c>
      <c r="C58" s="53">
        <f ca="1">ROUND(IF(项目基本情况!B11="自然人",C47*F58,C59+C60+C61),1)</f>
        <v>1.4</v>
      </c>
      <c r="D58" s="3207" t="s">
        <v>657</v>
      </c>
      <c r="E58" s="3206" t="s">
        <v>690</v>
      </c>
      <c r="F58" s="810" t="str">
        <f ca="1">IF(项目基本情况!B11="企业","",IF(INDIRECT("'数据-取费表'!c"&amp;$G$1)="住宅",5%,IF(F48*F49*F50/12/(1+'数据-取费表'!C42)&gt;20000,12%,7%)))</f>
        <v/>
      </c>
      <c r="I58" s="3111" t="s">
        <v>2356</v>
      </c>
      <c r="J58" s="3049" t="e">
        <f ca="1">IF(J55&lt;0.4,0.4,J55)</f>
        <v>#VALUE!</v>
      </c>
      <c r="K58" s="3073" t="s">
        <v>2361</v>
      </c>
      <c r="L58" s="1891" t="e">
        <f ca="1">ROUND(POWER(1+L52,L47-L48)*(POWER(1+L52,L48)-1)/(POWER(1+L52,L47)-1),4)</f>
        <v>#DIV/0!</v>
      </c>
      <c r="O58" s="2360" t="s">
        <v>2378</v>
      </c>
      <c r="P58" s="2361" t="s">
        <v>2409</v>
      </c>
      <c r="Q58" s="2362">
        <f ca="1">L60</f>
        <v>0</v>
      </c>
      <c r="R58" s="2365" t="s">
        <v>2411</v>
      </c>
    </row>
    <row r="59" spans="1:18" s="2042" customFormat="1" ht="28.5" customHeight="1" thickBot="1">
      <c r="A59" s="1633" t="s">
        <v>1830</v>
      </c>
      <c r="B59" s="784" t="s">
        <v>660</v>
      </c>
      <c r="C59" s="53">
        <f ca="1">ROUND(C47*F59/1.05,1)</f>
        <v>0</v>
      </c>
      <c r="D59" s="3206" t="s">
        <v>661</v>
      </c>
      <c r="E59" s="784" t="s">
        <v>649</v>
      </c>
      <c r="F59" s="809">
        <f t="shared" ref="F59:F65" si="0">F32</f>
        <v>5.5000000000000007E-2</v>
      </c>
      <c r="I59" s="3111" t="s">
        <v>2357</v>
      </c>
      <c r="J59" s="3112" t="str">
        <f ca="1">IF(OR(M47="住宅",J51&lt;L48,J56="是"),"——",ROUND(C29*J58,0))</f>
        <v>——</v>
      </c>
      <c r="K59" s="3073"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2380</v>
      </c>
      <c r="P59" s="2361" t="s">
        <v>2410</v>
      </c>
      <c r="Q59" s="2362">
        <f>IF(L55="比较法",L49,IF(L55="基准地价",L50,0))</f>
        <v>0</v>
      </c>
      <c r="R59" s="2361" t="s">
        <v>2377</v>
      </c>
    </row>
    <row r="60" spans="1:18" s="2042" customFormat="1" ht="18" customHeight="1" thickBot="1">
      <c r="A60" s="1633" t="s">
        <v>1831</v>
      </c>
      <c r="B60" s="784" t="s">
        <v>664</v>
      </c>
      <c r="C60" s="53">
        <f ca="1">IF(D60="按租金收入计税",ROUND(C47*F60,1),IF(D60="按房产原值计税",ROUND(C56*F60*0.7,1),INDIRECT("'数据-取费表'!Aj"&amp;$G$1)))</f>
        <v>0</v>
      </c>
      <c r="D60" s="3206" t="str">
        <f>D33</f>
        <v>按租金收入计税</v>
      </c>
      <c r="E60" s="784" t="s">
        <v>649</v>
      </c>
      <c r="F60" s="809">
        <f t="shared" si="0"/>
        <v>0.12</v>
      </c>
      <c r="I60" s="3113" t="s">
        <v>2358</v>
      </c>
      <c r="J60" s="3114" t="str">
        <f ca="1">IF(OR(M47="住宅",J51&lt;L48,J56="是"),"0",ROUND(J59/(1+J52)^J53,0))</f>
        <v>0</v>
      </c>
      <c r="K60" s="3115" t="s">
        <v>2363</v>
      </c>
      <c r="L60" s="3114">
        <f ca="1">IF(OR(M47="住宅",L48&lt;J51),0,ROUND(L57*(L58/L59-1),0))</f>
        <v>0</v>
      </c>
      <c r="O60" s="2363" t="s">
        <v>2381</v>
      </c>
      <c r="P60" s="2361" t="s">
        <v>2390</v>
      </c>
      <c r="Q60" s="2364">
        <f>L52</f>
        <v>0</v>
      </c>
      <c r="R60" s="2365"/>
    </row>
    <row r="61" spans="1:18" s="2042" customFormat="1" ht="18" customHeight="1" thickBot="1">
      <c r="A61" s="1636" t="s">
        <v>1832</v>
      </c>
      <c r="B61" s="341" t="s">
        <v>668</v>
      </c>
      <c r="C61" s="54">
        <f ca="1">ROUND(F61*F62/10000,1)</f>
        <v>1.4</v>
      </c>
      <c r="D61" s="814" t="s">
        <v>669</v>
      </c>
      <c r="E61" s="784" t="s">
        <v>670</v>
      </c>
      <c r="F61" s="640">
        <f t="shared" si="0"/>
        <v>3</v>
      </c>
      <c r="K61" s="2069"/>
      <c r="O61" s="2363" t="s">
        <v>2383</v>
      </c>
      <c r="P61" s="2361" t="s">
        <v>2391</v>
      </c>
      <c r="Q61" s="2362" t="e">
        <f ca="1">L58</f>
        <v>#DIV/0!</v>
      </c>
      <c r="R61" s="2365" t="s">
        <v>2392</v>
      </c>
    </row>
    <row r="62" spans="1:18" s="2042" customFormat="1" ht="16.2" thickBot="1">
      <c r="A62" s="815"/>
      <c r="B62" s="793"/>
      <c r="C62" s="69"/>
      <c r="D62" s="816"/>
      <c r="E62" s="784" t="s">
        <v>674</v>
      </c>
      <c r="F62" s="785">
        <f t="shared" ca="1" si="0"/>
        <v>4724.41</v>
      </c>
      <c r="I62" s="3116" t="s">
        <v>2364</v>
      </c>
      <c r="J62" s="3117" t="s">
        <v>2365</v>
      </c>
      <c r="K62" s="3117" t="s">
        <v>2366</v>
      </c>
      <c r="L62" s="3117" t="s">
        <v>2347</v>
      </c>
      <c r="M62" s="3118" t="s">
        <v>2936</v>
      </c>
      <c r="O62" s="2363" t="s">
        <v>2385</v>
      </c>
      <c r="P62" s="2361" t="str">
        <f>K59</f>
        <v>建设期及建筑物耐用年限下的土地年期修正系数Kn</v>
      </c>
      <c r="Q62" s="2362" t="e">
        <f ca="1">L59</f>
        <v>#DIV/0!</v>
      </c>
      <c r="R62" s="2365" t="s">
        <v>2394</v>
      </c>
    </row>
    <row r="63" spans="1:18" s="2042" customFormat="1" ht="16.2" thickBot="1">
      <c r="A63" s="1634" t="s">
        <v>1888</v>
      </c>
      <c r="B63" s="784" t="s">
        <v>676</v>
      </c>
      <c r="C63" s="53">
        <f ca="1">ROUND(C56*F63,1)</f>
        <v>44.7</v>
      </c>
      <c r="D63" s="3206" t="s">
        <v>691</v>
      </c>
      <c r="E63" s="784" t="s">
        <v>649</v>
      </c>
      <c r="F63" s="817">
        <f t="shared" ca="1" si="0"/>
        <v>5.0000000000000001E-3</v>
      </c>
      <c r="I63" s="3116" t="s">
        <v>2367</v>
      </c>
      <c r="J63" s="3117">
        <v>70</v>
      </c>
      <c r="K63" s="3117">
        <v>50</v>
      </c>
      <c r="L63" s="3117">
        <v>80</v>
      </c>
      <c r="M63" s="3119">
        <v>0.02</v>
      </c>
      <c r="O63" s="2360" t="s">
        <v>2388</v>
      </c>
      <c r="P63" s="2361" t="s">
        <v>2405</v>
      </c>
      <c r="Q63" s="2362">
        <f ca="1">Q57+Q58</f>
        <v>5444</v>
      </c>
      <c r="R63" s="2365" t="s">
        <v>2389</v>
      </c>
    </row>
    <row r="64" spans="1:18" s="2042" customFormat="1" ht="16.2" thickBot="1">
      <c r="A64" s="1634" t="s">
        <v>1889</v>
      </c>
      <c r="B64" s="784" t="s">
        <v>679</v>
      </c>
      <c r="C64" s="53">
        <f ca="1">ROUND(C55*F64,1)</f>
        <v>13.4</v>
      </c>
      <c r="D64" s="3206" t="s">
        <v>680</v>
      </c>
      <c r="E64" s="784" t="s">
        <v>649</v>
      </c>
      <c r="F64" s="818">
        <f t="shared" ca="1" si="0"/>
        <v>1.5E-3</v>
      </c>
      <c r="I64" s="3116" t="s">
        <v>2368</v>
      </c>
      <c r="J64" s="3117">
        <v>50</v>
      </c>
      <c r="K64" s="3117">
        <v>35</v>
      </c>
      <c r="L64" s="3117">
        <v>60</v>
      </c>
      <c r="M64" s="846">
        <v>0</v>
      </c>
      <c r="O64" s="2366" t="s">
        <v>2412</v>
      </c>
      <c r="P64" s="1578"/>
      <c r="Q64" s="1589"/>
      <c r="R64" s="1578"/>
    </row>
    <row r="65" spans="1:18" s="2042" customFormat="1" ht="16.2" thickBot="1">
      <c r="A65" s="1634" t="s">
        <v>1890</v>
      </c>
      <c r="B65" s="784" t="s">
        <v>666</v>
      </c>
      <c r="C65" s="53">
        <f ca="1">ROUND(C47*F65,1)</f>
        <v>0</v>
      </c>
      <c r="D65" s="3206" t="s">
        <v>683</v>
      </c>
      <c r="E65" s="784" t="s">
        <v>649</v>
      </c>
      <c r="F65" s="794">
        <f t="shared" ca="1" si="0"/>
        <v>0.05</v>
      </c>
      <c r="I65" s="3116" t="s">
        <v>2369</v>
      </c>
      <c r="J65" s="3117">
        <v>40</v>
      </c>
      <c r="K65" s="3117">
        <v>30</v>
      </c>
      <c r="L65" s="3117">
        <v>50</v>
      </c>
      <c r="M65" s="3119">
        <v>0.02</v>
      </c>
      <c r="O65" s="2357" t="s">
        <v>2372</v>
      </c>
      <c r="P65" s="2358" t="s">
        <v>2373</v>
      </c>
      <c r="Q65" s="2359" t="s">
        <v>2374</v>
      </c>
      <c r="R65" s="2358" t="s">
        <v>2375</v>
      </c>
    </row>
    <row r="66" spans="1:18" s="2042" customFormat="1" ht="24.6" thickBot="1">
      <c r="A66" s="797" t="s">
        <v>1775</v>
      </c>
      <c r="B66" s="2961" t="s">
        <v>2818</v>
      </c>
      <c r="C66" s="799">
        <f ca="1">C47-C57</f>
        <v>-60</v>
      </c>
      <c r="D66" s="3207" t="s">
        <v>700</v>
      </c>
      <c r="E66" s="3210"/>
      <c r="F66" s="820"/>
      <c r="K66" s="2069"/>
      <c r="O66" s="2360" t="s">
        <v>2376</v>
      </c>
      <c r="P66" s="2361" t="s">
        <v>2402</v>
      </c>
      <c r="Q66" s="2362">
        <f ca="1">C40+J29</f>
        <v>5444</v>
      </c>
      <c r="R66" s="2361" t="s">
        <v>2377</v>
      </c>
    </row>
    <row r="67" spans="1:18" s="2042" customFormat="1" ht="19.2" thickBot="1">
      <c r="A67" s="781" t="s">
        <v>1779</v>
      </c>
      <c r="B67" s="2215" t="s">
        <v>2298</v>
      </c>
      <c r="C67" s="783">
        <f ca="1">ROUND(C66*(1-((1+F69)/(1+F67))^F68)/(F67-F69),0)</f>
        <v>-1121</v>
      </c>
      <c r="D67" s="814" t="s">
        <v>704</v>
      </c>
      <c r="E67" s="784" t="s">
        <v>705</v>
      </c>
      <c r="F67" s="794">
        <f ca="1">F40</f>
        <v>4.4999999999999998E-2</v>
      </c>
      <c r="K67" s="2069"/>
      <c r="O67" s="2360" t="s">
        <v>2378</v>
      </c>
      <c r="P67" s="2361" t="s">
        <v>2409</v>
      </c>
      <c r="Q67" s="2362">
        <f ca="1">L60</f>
        <v>0</v>
      </c>
      <c r="R67" s="2365" t="s">
        <v>2411</v>
      </c>
    </row>
    <row r="68" spans="1:18" ht="20.399999999999999" thickBot="1">
      <c r="A68" s="786"/>
      <c r="B68" s="787"/>
      <c r="C68" s="788"/>
      <c r="D68" s="821" t="s">
        <v>1807</v>
      </c>
      <c r="E68" s="784" t="s">
        <v>708</v>
      </c>
      <c r="F68" s="822">
        <f ca="1">F41</f>
        <v>41.79</v>
      </c>
      <c r="O68" s="2363" t="s">
        <v>2380</v>
      </c>
      <c r="P68" s="2361" t="s">
        <v>2410</v>
      </c>
      <c r="Q68" s="2367">
        <f ca="1">L51</f>
        <v>-9527</v>
      </c>
      <c r="R68" s="2368" t="s">
        <v>2413</v>
      </c>
    </row>
    <row r="69" spans="1:18" ht="19.2" thickBot="1">
      <c r="A69" s="790"/>
      <c r="B69" s="791"/>
      <c r="C69" s="792"/>
      <c r="D69" s="816"/>
      <c r="E69" s="784" t="s">
        <v>710</v>
      </c>
      <c r="F69" s="2333"/>
      <c r="O69" s="2363" t="s">
        <v>2381</v>
      </c>
      <c r="P69" s="2369" t="s">
        <v>2395</v>
      </c>
      <c r="Q69" s="2362">
        <f ca="1">ROUND(Q70-Q71*Q72,0)</f>
        <v>-464</v>
      </c>
      <c r="R69" s="2365"/>
    </row>
    <row r="70" spans="1:18" ht="16.2" thickBot="1">
      <c r="A70" s="823" t="s">
        <v>1786</v>
      </c>
      <c r="B70" s="824" t="s">
        <v>1809</v>
      </c>
      <c r="C70" s="825">
        <f ca="1">ROUND(C67*10000/F70,0)</f>
        <v>-324</v>
      </c>
      <c r="D70" s="826" t="s">
        <v>1810</v>
      </c>
      <c r="E70" s="827" t="s">
        <v>1811</v>
      </c>
      <c r="F70" s="828">
        <f ca="1">F43</f>
        <v>34630.9</v>
      </c>
      <c r="O70" s="2363" t="s">
        <v>2396</v>
      </c>
      <c r="P70" s="2369" t="s">
        <v>2397</v>
      </c>
      <c r="Q70" s="2362">
        <f ca="1">C39</f>
        <v>251</v>
      </c>
      <c r="R70" s="2361" t="s">
        <v>2377</v>
      </c>
    </row>
    <row r="71" spans="1:18" ht="16.2" thickBot="1">
      <c r="O71" s="2363" t="s">
        <v>2398</v>
      </c>
      <c r="P71" s="2369" t="s">
        <v>2399</v>
      </c>
      <c r="Q71" s="2362">
        <f ca="1">C13</f>
        <v>8943</v>
      </c>
      <c r="R71" s="2361" t="s">
        <v>2377</v>
      </c>
    </row>
    <row r="72" spans="1:18" ht="16.2" thickBot="1">
      <c r="O72" s="2363" t="s">
        <v>2400</v>
      </c>
      <c r="P72" s="2369" t="s">
        <v>2401</v>
      </c>
      <c r="Q72" s="2364">
        <f ca="1">J36</f>
        <v>0.08</v>
      </c>
      <c r="R72" s="2365"/>
    </row>
    <row r="73" spans="1:18" ht="16.2" thickBot="1">
      <c r="O73" s="2363" t="s">
        <v>2383</v>
      </c>
      <c r="P73" s="2361" t="s">
        <v>2390</v>
      </c>
      <c r="Q73" s="2364">
        <f>L52</f>
        <v>0</v>
      </c>
      <c r="R73" s="2365"/>
    </row>
    <row r="74" spans="1:18" ht="19.2" thickBot="1">
      <c r="O74" s="2363" t="s">
        <v>2385</v>
      </c>
      <c r="P74" s="2361" t="s">
        <v>2391</v>
      </c>
      <c r="Q74" s="2362" t="e">
        <f ca="1">L58</f>
        <v>#DIV/0!</v>
      </c>
      <c r="R74" s="2365" t="s">
        <v>2392</v>
      </c>
    </row>
    <row r="75" spans="1:18" ht="16.2" thickBot="1">
      <c r="O75" s="2363" t="s">
        <v>2414</v>
      </c>
      <c r="P75" s="2361" t="str">
        <f>K59</f>
        <v>建设期及建筑物耐用年限下的土地年期修正系数Kn</v>
      </c>
      <c r="Q75" s="2362" t="e">
        <f ca="1">L59</f>
        <v>#DIV/0!</v>
      </c>
      <c r="R75" s="2365" t="s">
        <v>2394</v>
      </c>
    </row>
    <row r="76" spans="1:18" ht="16.2" thickBot="1">
      <c r="O76" s="2360" t="s">
        <v>2388</v>
      </c>
      <c r="P76" s="2361" t="s">
        <v>2405</v>
      </c>
      <c r="Q76" s="2362">
        <f ca="1">Q66+Q67</f>
        <v>5444</v>
      </c>
      <c r="R76" s="2365" t="s">
        <v>2389</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4" priority="6">
      <formula>$L$48&gt;$J$51</formula>
    </cfRule>
  </conditionalFormatting>
  <conditionalFormatting sqref="I55">
    <cfRule type="expression" dxfId="63" priority="7">
      <formula>$J$51&gt;$L$48</formula>
    </cfRule>
  </conditionalFormatting>
  <conditionalFormatting sqref="I60">
    <cfRule type="expression" dxfId="62" priority="5">
      <formula>$J$51&gt;$L$48</formula>
    </cfRule>
  </conditionalFormatting>
  <conditionalFormatting sqref="K60">
    <cfRule type="expression" dxfId="61" priority="4">
      <formula>$L$48&gt;$J$51</formula>
    </cfRule>
  </conditionalFormatting>
  <conditionalFormatting sqref="C11">
    <cfRule type="expression" dxfId="60" priority="3">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D1" xr:uid="{00000000-0002-0000-2500-000000000000}">
      <formula1>"土地（套用方法）,——"</formula1>
    </dataValidation>
    <dataValidation type="list" allowBlank="1" showInputMessage="1" showErrorMessage="1" sqref="F10 M10 F52" xr:uid="{00000000-0002-0000-2500-000001000000}">
      <formula1>"押一,押二,押三,自定义"</formula1>
    </dataValidation>
    <dataValidation type="list" allowBlank="1" showInputMessage="1" showErrorMessage="1" sqref="J48" xr:uid="{00000000-0002-0000-2500-000002000000}">
      <formula1>"非生产用房,生产用房,受腐蚀的生产用房"</formula1>
    </dataValidation>
    <dataValidation type="list" allowBlank="1" showInputMessage="1" showErrorMessage="1" sqref="J47" xr:uid="{00000000-0002-0000-2500-000003000000}">
      <formula1>"钢,钢混,砖混"</formula1>
    </dataValidation>
    <dataValidation type="list" allowBlank="1" showInputMessage="1" showErrorMessage="1" sqref="J56" xr:uid="{00000000-0002-0000-2500-000004000000}">
      <formula1>判定</formula1>
    </dataValidation>
    <dataValidation type="list" allowBlank="1" showInputMessage="1" showErrorMessage="1" sqref="D33" xr:uid="{00000000-0002-0000-2500-000005000000}">
      <formula1>"按租金收入计税,按房产原值计税,按票据"</formula1>
    </dataValidation>
    <dataValidation type="list" allowBlank="1" showInputMessage="1" showErrorMessage="1" sqref="K19" xr:uid="{00000000-0002-0000-2500-000006000000}">
      <formula1>"按租金收入计税,按房产原值计税"</formula1>
    </dataValidation>
    <dataValidation type="list" allowBlank="1" showInputMessage="1" showErrorMessage="1" sqref="C1:C3" xr:uid="{00000000-0002-0000-2500-000007000000}">
      <formula1>项目类型</formula1>
    </dataValidation>
  </dataValidations>
  <pageMargins left="0.7" right="0.7" top="0.75" bottom="0.75" header="0.3" footer="0.3"/>
  <pageSetup paperSize="9" scale="51" orientation="landscape"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P2:T5"/>
  <sheetViews>
    <sheetView tabSelected="1" topLeftCell="T1" zoomScale="75" zoomScaleNormal="75" workbookViewId="0">
      <selection activeCell="AW30" sqref="AW30"/>
    </sheetView>
  </sheetViews>
  <sheetFormatPr defaultRowHeight="14.4"/>
  <sheetData>
    <row r="2" spans="16:20">
      <c r="P2" s="3201" t="s">
        <v>3188</v>
      </c>
      <c r="R2" s="3201" t="s">
        <v>3192</v>
      </c>
      <c r="T2" s="3201" t="s">
        <v>3196</v>
      </c>
    </row>
    <row r="3" spans="16:20">
      <c r="P3" s="3201" t="s">
        <v>3193</v>
      </c>
      <c r="R3" s="3201" t="s">
        <v>3189</v>
      </c>
      <c r="T3" s="3201" t="s">
        <v>3189</v>
      </c>
    </row>
    <row r="4" spans="16:20">
      <c r="P4" s="3201" t="s">
        <v>3190</v>
      </c>
      <c r="R4" s="3201" t="s">
        <v>3194</v>
      </c>
    </row>
    <row r="5" spans="16:20">
      <c r="P5" s="3201" t="s">
        <v>3191</v>
      </c>
      <c r="R5" s="3201" t="s">
        <v>3195</v>
      </c>
      <c r="T5" s="3201" t="s">
        <v>3195</v>
      </c>
    </row>
  </sheetData>
  <phoneticPr fontId="233"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zoomScale="72" zoomScaleNormal="72" workbookViewId="0">
      <selection activeCell="AB69" sqref="AB69"/>
    </sheetView>
  </sheetViews>
  <sheetFormatPr defaultRowHeight="14.4"/>
  <sheetData/>
  <phoneticPr fontId="233"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788</v>
      </c>
      <c r="C1" s="504" t="s">
        <v>720</v>
      </c>
      <c r="D1" s="849"/>
      <c r="E1" s="506"/>
      <c r="F1" s="2760"/>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2" customFormat="1" ht="28.5" customHeight="1">
      <c r="A2" s="423" t="s">
        <v>467</v>
      </c>
      <c r="B2" s="850" t="e">
        <f>ROUND(B3*D3/10000,0)</f>
        <v>#DIV/0!</v>
      </c>
      <c r="C2" s="2110"/>
      <c r="D2" s="2110"/>
      <c r="E2" s="2111"/>
      <c r="F2" s="2112"/>
      <c r="G2" s="2111"/>
      <c r="H2" s="2111"/>
      <c r="I2" s="2111"/>
      <c r="J2" s="2111"/>
      <c r="K2" s="2111"/>
      <c r="L2" s="2114"/>
      <c r="M2" s="2115"/>
      <c r="N2" s="2115"/>
      <c r="O2" s="2115"/>
      <c r="P2" s="1550"/>
      <c r="Q2" s="1550"/>
      <c r="R2" s="1550"/>
      <c r="S2" s="1550"/>
      <c r="T2" s="1550"/>
      <c r="U2" s="1550"/>
      <c r="V2" s="1550"/>
      <c r="W2" s="1550"/>
      <c r="X2" s="1550"/>
      <c r="Y2" s="1550"/>
      <c r="Z2" s="1550"/>
      <c r="AA2" s="1550"/>
      <c r="AB2" s="1550"/>
      <c r="AC2" s="428"/>
    </row>
    <row r="3" spans="1:29" s="1332" customFormat="1" ht="28.5" customHeight="1" thickBot="1">
      <c r="A3" s="509" t="s">
        <v>519</v>
      </c>
      <c r="B3" s="510" t="e">
        <f>C43</f>
        <v>#DIV/0!</v>
      </c>
      <c r="C3" s="852" t="s">
        <v>722</v>
      </c>
      <c r="D3" s="851">
        <f>SUMIF('数据-汇总表'!$C19:$C33,D1,'数据-汇总表'!$E19:$E33)</f>
        <v>0</v>
      </c>
      <c r="E3" s="2111"/>
      <c r="F3" s="2112"/>
      <c r="G3" s="2111"/>
      <c r="H3" s="2111"/>
      <c r="I3" s="2111"/>
      <c r="J3" s="2111"/>
      <c r="K3" s="2113"/>
      <c r="L3" s="2114"/>
      <c r="M3" s="2115"/>
      <c r="N3" s="2115"/>
      <c r="O3" s="2115"/>
      <c r="P3" s="1550"/>
      <c r="Q3" s="1550"/>
      <c r="R3" s="1550"/>
      <c r="S3" s="1550"/>
      <c r="T3" s="1550"/>
      <c r="U3" s="1550"/>
      <c r="V3" s="1550"/>
      <c r="W3" s="1550"/>
      <c r="X3" s="1550"/>
      <c r="Y3" s="1550"/>
      <c r="Z3" s="1550"/>
      <c r="AA3" s="1550"/>
      <c r="AB3" s="1552"/>
      <c r="AC3" s="428"/>
    </row>
    <row r="4" spans="1:29" ht="14.4">
      <c r="A4" s="512" t="s">
        <v>521</v>
      </c>
      <c r="B4" s="513"/>
      <c r="C4" s="3516" t="s">
        <v>522</v>
      </c>
      <c r="D4" s="3517"/>
      <c r="E4" s="3540" t="s">
        <v>523</v>
      </c>
      <c r="F4" s="3541"/>
      <c r="G4" s="3516" t="s">
        <v>524</v>
      </c>
      <c r="H4" s="3517"/>
      <c r="I4" s="3516" t="s">
        <v>525</v>
      </c>
      <c r="J4" s="3517"/>
      <c r="K4" s="514" t="s">
        <v>526</v>
      </c>
      <c r="L4" s="2116"/>
      <c r="M4" s="2117"/>
      <c r="N4" s="2117"/>
      <c r="O4" s="2117"/>
      <c r="P4" s="3518" t="s">
        <v>527</v>
      </c>
      <c r="Q4" s="3519"/>
      <c r="R4" s="3504" t="s">
        <v>523</v>
      </c>
      <c r="S4" s="3505"/>
      <c r="T4" s="3504" t="s">
        <v>524</v>
      </c>
      <c r="U4" s="3505"/>
      <c r="V4" s="3524" t="s">
        <v>525</v>
      </c>
      <c r="W4" s="3524"/>
      <c r="X4" s="1553"/>
      <c r="Y4" s="3504" t="s">
        <v>527</v>
      </c>
      <c r="Z4" s="3505"/>
      <c r="AA4" s="3499" t="s">
        <v>523</v>
      </c>
      <c r="AB4" s="3500" t="s">
        <v>524</v>
      </c>
      <c r="AC4" s="3499" t="s">
        <v>525</v>
      </c>
    </row>
    <row r="5" spans="1:29">
      <c r="A5" s="515"/>
      <c r="B5" s="516"/>
      <c r="C5" s="3527" t="s">
        <v>2923</v>
      </c>
      <c r="D5" s="3528"/>
      <c r="E5" s="3542" t="s">
        <v>2924</v>
      </c>
      <c r="F5" s="3543"/>
      <c r="G5" s="3527" t="s">
        <v>2925</v>
      </c>
      <c r="H5" s="3528"/>
      <c r="I5" s="3527" t="s">
        <v>2926</v>
      </c>
      <c r="J5" s="3528"/>
      <c r="K5" s="514"/>
      <c r="L5" s="2116"/>
      <c r="M5" s="2117"/>
      <c r="N5" s="2117"/>
      <c r="O5" s="2117"/>
      <c r="P5" s="3520"/>
      <c r="Q5" s="3521"/>
      <c r="R5" s="3506"/>
      <c r="S5" s="3507"/>
      <c r="T5" s="3506"/>
      <c r="U5" s="3507"/>
      <c r="V5" s="3524"/>
      <c r="W5" s="3524"/>
      <c r="X5" s="1553"/>
      <c r="Y5" s="3506"/>
      <c r="Z5" s="3507"/>
      <c r="AA5" s="3500"/>
      <c r="AB5" s="3500"/>
      <c r="AC5" s="3500"/>
    </row>
    <row r="6" spans="1:29" ht="15" thickBot="1">
      <c r="A6" s="517"/>
      <c r="B6" s="518"/>
      <c r="C6" s="3525" t="s">
        <v>2927</v>
      </c>
      <c r="D6" s="3526"/>
      <c r="E6" s="3544" t="s">
        <v>2927</v>
      </c>
      <c r="F6" s="3545"/>
      <c r="G6" s="3525" t="s">
        <v>2927</v>
      </c>
      <c r="H6" s="3526"/>
      <c r="I6" s="3525" t="s">
        <v>2927</v>
      </c>
      <c r="J6" s="3526"/>
      <c r="K6" s="514" t="s">
        <v>528</v>
      </c>
      <c r="L6" s="2116"/>
      <c r="M6" s="2117"/>
      <c r="N6" s="2117"/>
      <c r="O6" s="2117"/>
      <c r="P6" s="3522"/>
      <c r="Q6" s="3523"/>
      <c r="R6" s="3506"/>
      <c r="S6" s="3507"/>
      <c r="T6" s="3508"/>
      <c r="U6" s="3509"/>
      <c r="V6" s="3524"/>
      <c r="W6" s="3524"/>
      <c r="X6" s="1553"/>
      <c r="Y6" s="3508"/>
      <c r="Z6" s="3509"/>
      <c r="AA6" s="3501"/>
      <c r="AB6" s="3501"/>
      <c r="AC6" s="3501"/>
    </row>
    <row r="7" spans="1:29" s="1216" customFormat="1" ht="15" thickBot="1">
      <c r="A7" s="2865"/>
      <c r="B7" s="2872" t="s">
        <v>529</v>
      </c>
      <c r="C7" s="519">
        <f>'数据-取费表'!B2</f>
        <v>43889</v>
      </c>
      <c r="D7" s="520">
        <v>100</v>
      </c>
      <c r="E7" s="521"/>
      <c r="F7" s="522">
        <f>SUMIF(52:52,YEAR(E7)&amp;"-"&amp;MONTH(E7),53:53)</f>
        <v>0</v>
      </c>
      <c r="G7" s="521"/>
      <c r="H7" s="520">
        <f>SUMIF(52:52,YEAR(G7)&amp;"-"&amp;MONTH(G7),53:53)</f>
        <v>0</v>
      </c>
      <c r="I7" s="521"/>
      <c r="J7" s="520">
        <f>SUMIF(52:52,YEAR(I7)&amp;"-"&amp;MONTH(I7),53:53)</f>
        <v>0</v>
      </c>
      <c r="K7" s="524"/>
      <c r="L7" s="2118"/>
      <c r="M7" s="2119"/>
      <c r="N7" s="2119"/>
      <c r="O7" s="2119"/>
      <c r="P7" s="3502" t="s">
        <v>530</v>
      </c>
      <c r="Q7" s="3511"/>
      <c r="R7" s="1554" t="s">
        <v>8</v>
      </c>
      <c r="S7" s="1555">
        <f t="shared" ref="S7:S15" si="0">F7</f>
        <v>0</v>
      </c>
      <c r="T7" s="1554" t="s">
        <v>8</v>
      </c>
      <c r="U7" s="1555">
        <f t="shared" ref="U7:U15" si="1">H7</f>
        <v>0</v>
      </c>
      <c r="V7" s="1554" t="s">
        <v>8</v>
      </c>
      <c r="W7" s="1555">
        <f t="shared" ref="W7:W15" si="2">J7</f>
        <v>0</v>
      </c>
      <c r="X7" s="1556"/>
      <c r="Y7" s="3502" t="s">
        <v>530</v>
      </c>
      <c r="Z7" s="3503"/>
      <c r="AA7" s="1557" t="e">
        <f>D7/F7</f>
        <v>#DIV/0!</v>
      </c>
      <c r="AB7" s="1557" t="e">
        <f>D7/H7</f>
        <v>#DIV/0!</v>
      </c>
      <c r="AC7" s="1557" t="e">
        <f>D7/J7</f>
        <v>#DIV/0!</v>
      </c>
    </row>
    <row r="8" spans="1:29" s="1216" customFormat="1" ht="15" thickBot="1">
      <c r="A8" s="2866"/>
      <c r="B8" s="2873" t="s">
        <v>531</v>
      </c>
      <c r="C8" s="525" t="s">
        <v>576</v>
      </c>
      <c r="D8" s="520">
        <v>100</v>
      </c>
      <c r="E8" s="525"/>
      <c r="F8" s="522">
        <f>SUMIF(55:55,E8,56:56)-SUMIF(55:55,C8,56:56)+100</f>
        <v>0</v>
      </c>
      <c r="G8" s="525"/>
      <c r="H8" s="520">
        <f>SUMIF(55:55,G8,56:56)-SUMIF(55:55,C8,56:56)+100</f>
        <v>0</v>
      </c>
      <c r="I8" s="525"/>
      <c r="J8" s="520">
        <f>SUMIF(55:55,I8,56:56)-SUMIF(55:55,C8,56:56)+100</f>
        <v>0</v>
      </c>
      <c r="K8" s="524"/>
      <c r="L8" s="2118"/>
      <c r="M8" s="2119"/>
      <c r="N8" s="2119"/>
      <c r="O8" s="2119"/>
      <c r="P8" s="3502" t="s">
        <v>533</v>
      </c>
      <c r="Q8" s="3503"/>
      <c r="R8" s="1554" t="s">
        <v>8</v>
      </c>
      <c r="S8" s="1555">
        <f t="shared" si="0"/>
        <v>0</v>
      </c>
      <c r="T8" s="1554" t="s">
        <v>8</v>
      </c>
      <c r="U8" s="1555">
        <f t="shared" si="1"/>
        <v>0</v>
      </c>
      <c r="V8" s="1554" t="s">
        <v>8</v>
      </c>
      <c r="W8" s="1555">
        <f t="shared" si="2"/>
        <v>0</v>
      </c>
      <c r="X8" s="1556"/>
      <c r="Y8" s="3502" t="s">
        <v>533</v>
      </c>
      <c r="Z8" s="3503"/>
      <c r="AA8" s="1557" t="e">
        <f t="shared" ref="AA8:AA40" si="3">D8/F8</f>
        <v>#DIV/0!</v>
      </c>
      <c r="AB8" s="1557" t="e">
        <f t="shared" ref="AB8:AB40" si="4">D8/H8</f>
        <v>#DIV/0!</v>
      </c>
      <c r="AC8" s="1557" t="e">
        <f t="shared" ref="AC8:AC40" si="5">D8/J8</f>
        <v>#DIV/0!</v>
      </c>
    </row>
    <row r="9" spans="1:29" s="1216" customFormat="1" ht="14.4">
      <c r="A9" s="2867"/>
      <c r="B9" s="2874" t="s">
        <v>2752</v>
      </c>
      <c r="C9" s="857"/>
      <c r="D9" s="254">
        <v>100</v>
      </c>
      <c r="E9" s="860"/>
      <c r="F9" s="254">
        <f>SUMIF(57:57,E9,58:58)-SUMIF(57:57,C9,58:58)+100</f>
        <v>100</v>
      </c>
      <c r="G9" s="858"/>
      <c r="H9" s="254">
        <f>SUMIF(57:57,G9,58:58)-SUMIF(57:57,C9,58:58)+100</f>
        <v>100</v>
      </c>
      <c r="I9" s="858"/>
      <c r="J9" s="254">
        <f>SUMIF(57:57,I9,58:58)-SUMIF(57:57,C9,58:58)+100</f>
        <v>100</v>
      </c>
      <c r="K9" s="524"/>
      <c r="L9" s="2118"/>
      <c r="M9" s="2119"/>
      <c r="N9" s="2119"/>
      <c r="O9" s="2120"/>
      <c r="P9" s="3510" t="s">
        <v>535</v>
      </c>
      <c r="Q9" s="1147" t="str">
        <f t="shared" ref="Q9:Q15" si="6">B9</f>
        <v>用途</v>
      </c>
      <c r="R9" s="1554" t="s">
        <v>8</v>
      </c>
      <c r="S9" s="1555">
        <f t="shared" si="0"/>
        <v>100</v>
      </c>
      <c r="T9" s="1554" t="s">
        <v>8</v>
      </c>
      <c r="U9" s="1555">
        <f t="shared" si="1"/>
        <v>100</v>
      </c>
      <c r="V9" s="1554" t="s">
        <v>8</v>
      </c>
      <c r="W9" s="1555">
        <f t="shared" si="2"/>
        <v>100</v>
      </c>
      <c r="X9" s="1556"/>
      <c r="Y9" s="3467" t="s">
        <v>536</v>
      </c>
      <c r="Z9" s="1146" t="str">
        <f t="shared" ref="Z9:Z15" si="7">Q9</f>
        <v>用途</v>
      </c>
      <c r="AA9" s="1557">
        <f t="shared" si="3"/>
        <v>1</v>
      </c>
      <c r="AB9" s="1557">
        <f t="shared" si="4"/>
        <v>1</v>
      </c>
      <c r="AC9" s="1557">
        <f t="shared" si="5"/>
        <v>1</v>
      </c>
    </row>
    <row r="10" spans="1:29" s="1334" customFormat="1" ht="28.8">
      <c r="A10" s="2868"/>
      <c r="B10" s="2873" t="s">
        <v>2753</v>
      </c>
      <c r="C10" s="861"/>
      <c r="D10" s="255">
        <v>100</v>
      </c>
      <c r="E10" s="861"/>
      <c r="F10" s="255">
        <f>SUMIF(59:59,E10,60:60)-SUMIF(59:59,C10,60:60)+100</f>
        <v>100</v>
      </c>
      <c r="G10" s="862"/>
      <c r="H10" s="255">
        <f>SUMIF(59:59,G10,60:60)-SUMIF(59:59,C10,60:60)+100</f>
        <v>100</v>
      </c>
      <c r="I10" s="861"/>
      <c r="J10" s="255">
        <f>SUMIF(59:59,I10,60:60)-SUMIF(59:59,C10,60:60)+100</f>
        <v>100</v>
      </c>
      <c r="K10" s="584"/>
      <c r="L10" s="2121"/>
      <c r="M10" s="2161"/>
      <c r="N10" s="2161"/>
      <c r="O10" s="2122"/>
      <c r="P10" s="3510"/>
      <c r="Q10" s="1147" t="str">
        <f t="shared" si="6"/>
        <v>土地使用年限（年）</v>
      </c>
      <c r="R10" s="1554" t="s">
        <v>8</v>
      </c>
      <c r="S10" s="1555">
        <f t="shared" si="0"/>
        <v>100</v>
      </c>
      <c r="T10" s="1554" t="s">
        <v>8</v>
      </c>
      <c r="U10" s="1555">
        <f t="shared" si="1"/>
        <v>100</v>
      </c>
      <c r="V10" s="1554" t="s">
        <v>8</v>
      </c>
      <c r="W10" s="1555">
        <f t="shared" si="2"/>
        <v>100</v>
      </c>
      <c r="X10" s="1556"/>
      <c r="Y10" s="3467"/>
      <c r="Z10" s="1146" t="str">
        <f t="shared" si="7"/>
        <v>土地使用年限（年）</v>
      </c>
      <c r="AA10" s="1557">
        <f t="shared" si="3"/>
        <v>1</v>
      </c>
      <c r="AB10" s="1557">
        <f t="shared" si="4"/>
        <v>1</v>
      </c>
      <c r="AC10" s="1557">
        <f t="shared" si="5"/>
        <v>1</v>
      </c>
    </row>
    <row r="11" spans="1:29" ht="15">
      <c r="A11" s="2869"/>
      <c r="B11" s="2873"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3"/>
      <c r="M11" s="2117"/>
      <c r="N11" s="2117"/>
      <c r="O11" s="2124"/>
      <c r="P11" s="3510"/>
      <c r="Q11" s="1147" t="str">
        <f t="shared" si="6"/>
        <v>容积率</v>
      </c>
      <c r="R11" s="1554" t="s">
        <v>8</v>
      </c>
      <c r="S11" s="1555" t="e">
        <f t="shared" si="0"/>
        <v>#N/A</v>
      </c>
      <c r="T11" s="1554" t="s">
        <v>8</v>
      </c>
      <c r="U11" s="1555" t="e">
        <f t="shared" si="1"/>
        <v>#N/A</v>
      </c>
      <c r="V11" s="1554" t="s">
        <v>8</v>
      </c>
      <c r="W11" s="1555" t="e">
        <f t="shared" si="2"/>
        <v>#N/A</v>
      </c>
      <c r="X11" s="1556"/>
      <c r="Y11" s="3467"/>
      <c r="Z11" s="1146" t="str">
        <f t="shared" si="7"/>
        <v>容积率</v>
      </c>
      <c r="AA11" s="1557" t="e">
        <f t="shared" si="3"/>
        <v>#N/A</v>
      </c>
      <c r="AB11" s="1557" t="e">
        <f t="shared" si="4"/>
        <v>#N/A</v>
      </c>
      <c r="AC11" s="1557" t="e">
        <f t="shared" si="5"/>
        <v>#N/A</v>
      </c>
    </row>
    <row r="12" spans="1:29" s="1216" customFormat="1" ht="15">
      <c r="A12" s="2870"/>
      <c r="B12" s="2876">
        <v>111</v>
      </c>
      <c r="C12" s="528"/>
      <c r="D12" s="538">
        <v>100</v>
      </c>
      <c r="E12" s="539"/>
      <c r="F12" s="255">
        <f>SUMIF(64:64,E12,65:65)-SUMIF(64:64,C12,65:65)+100</f>
        <v>100</v>
      </c>
      <c r="G12" s="920"/>
      <c r="H12" s="255">
        <f>SUMIF(64:64,G12,65:65)-SUMIF(64:64,C12,65:65)+100</f>
        <v>100</v>
      </c>
      <c r="I12" s="880"/>
      <c r="J12" s="255">
        <f>SUMIF(64:64,I12,65:65)-SUMIF(64:64,C12,65:65)+100</f>
        <v>100</v>
      </c>
      <c r="K12" s="581"/>
      <c r="L12" s="2118"/>
      <c r="M12" s="2119"/>
      <c r="N12" s="2119"/>
      <c r="O12" s="2120"/>
      <c r="P12" s="3510"/>
      <c r="Q12" s="1147">
        <f t="shared" si="6"/>
        <v>111</v>
      </c>
      <c r="R12" s="1554" t="s">
        <v>8</v>
      </c>
      <c r="S12" s="1555">
        <f t="shared" si="0"/>
        <v>100</v>
      </c>
      <c r="T12" s="1554" t="s">
        <v>8</v>
      </c>
      <c r="U12" s="1555">
        <f t="shared" si="1"/>
        <v>100</v>
      </c>
      <c r="V12" s="1554" t="s">
        <v>8</v>
      </c>
      <c r="W12" s="1555">
        <f t="shared" si="2"/>
        <v>100</v>
      </c>
      <c r="X12" s="1556"/>
      <c r="Y12" s="3467"/>
      <c r="Z12" s="1146">
        <f t="shared" si="7"/>
        <v>111</v>
      </c>
      <c r="AA12" s="1557">
        <f>D12/F12</f>
        <v>1</v>
      </c>
      <c r="AB12" s="1557">
        <f>D12/H12</f>
        <v>1</v>
      </c>
      <c r="AC12" s="1557">
        <f>D12/J12</f>
        <v>1</v>
      </c>
    </row>
    <row r="13" spans="1:29" ht="15">
      <c r="A13" s="2870"/>
      <c r="B13" s="2876">
        <v>111</v>
      </c>
      <c r="C13" s="539"/>
      <c r="D13" s="540">
        <v>100</v>
      </c>
      <c r="E13" s="539"/>
      <c r="F13" s="255">
        <f>SUMIF(66:66,E13,67:67)-SUMIF(66:66,C13,67:67)+100</f>
        <v>100</v>
      </c>
      <c r="G13" s="920"/>
      <c r="H13" s="540">
        <f>SUMIF(66:66,G13,67:67)-SUMIF(66:66,C13,67:67)+100</f>
        <v>100</v>
      </c>
      <c r="I13" s="880"/>
      <c r="J13" s="540">
        <f>SUMIF(66:66,I13,67:67)-SUMIF(66:66,C13,67:67)+100</f>
        <v>100</v>
      </c>
      <c r="K13" s="581"/>
      <c r="L13" s="2125"/>
      <c r="M13" s="2117"/>
      <c r="N13" s="2117"/>
      <c r="O13" s="2124"/>
      <c r="P13" s="3510"/>
      <c r="Q13" s="1147">
        <f t="shared" si="6"/>
        <v>111</v>
      </c>
      <c r="R13" s="1554" t="s">
        <v>8</v>
      </c>
      <c r="S13" s="1555">
        <f t="shared" si="0"/>
        <v>100</v>
      </c>
      <c r="T13" s="1554" t="s">
        <v>8</v>
      </c>
      <c r="U13" s="1555">
        <f t="shared" si="1"/>
        <v>100</v>
      </c>
      <c r="V13" s="1554" t="s">
        <v>8</v>
      </c>
      <c r="W13" s="1555">
        <f t="shared" si="2"/>
        <v>100</v>
      </c>
      <c r="X13" s="1556"/>
      <c r="Y13" s="3467"/>
      <c r="Z13" s="1146">
        <f t="shared" si="7"/>
        <v>111</v>
      </c>
      <c r="AA13" s="1557">
        <f t="shared" si="3"/>
        <v>1</v>
      </c>
      <c r="AB13" s="1557">
        <f t="shared" si="4"/>
        <v>1</v>
      </c>
      <c r="AC13" s="1557">
        <f t="shared" si="5"/>
        <v>1</v>
      </c>
    </row>
    <row r="14" spans="1:29" ht="15.6" thickBot="1">
      <c r="A14" s="2871"/>
      <c r="B14" s="2877">
        <v>111</v>
      </c>
      <c r="C14" s="545"/>
      <c r="D14" s="546">
        <v>100</v>
      </c>
      <c r="E14" s="545"/>
      <c r="F14" s="546">
        <f>SUMIF(68:68,E14,69:69)-SUMIF(68:68,C14,69:69)+100</f>
        <v>100</v>
      </c>
      <c r="G14" s="920"/>
      <c r="H14" s="546">
        <f>SUMIF(68:68,G14,69:69)-SUMIF(68:68,C14,69:69)+100</f>
        <v>100</v>
      </c>
      <c r="I14" s="880"/>
      <c r="J14" s="546">
        <f>SUMIF(68:68,I14,69:69)-SUMIF(68:68,C14,69:69)+100</f>
        <v>100</v>
      </c>
      <c r="K14" s="581"/>
      <c r="L14" s="2125"/>
      <c r="M14" s="2117"/>
      <c r="N14" s="2117"/>
      <c r="O14" s="2124"/>
      <c r="P14" s="3510"/>
      <c r="Q14" s="1147">
        <f t="shared" si="6"/>
        <v>111</v>
      </c>
      <c r="R14" s="1554" t="s">
        <v>8</v>
      </c>
      <c r="S14" s="1555">
        <f t="shared" si="0"/>
        <v>100</v>
      </c>
      <c r="T14" s="1554" t="s">
        <v>8</v>
      </c>
      <c r="U14" s="1555">
        <f t="shared" si="1"/>
        <v>100</v>
      </c>
      <c r="V14" s="1554" t="s">
        <v>8</v>
      </c>
      <c r="W14" s="1555">
        <f t="shared" si="2"/>
        <v>100</v>
      </c>
      <c r="X14" s="1556"/>
      <c r="Y14" s="3467"/>
      <c r="Z14" s="1146">
        <f t="shared" si="7"/>
        <v>111</v>
      </c>
      <c r="AA14" s="1557">
        <f t="shared" si="3"/>
        <v>1</v>
      </c>
      <c r="AB14" s="1557">
        <f t="shared" si="4"/>
        <v>1</v>
      </c>
      <c r="AC14" s="1557">
        <f t="shared" si="5"/>
        <v>1</v>
      </c>
    </row>
    <row r="15" spans="1:29" ht="69">
      <c r="A15" s="2863" t="s">
        <v>2750</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5"/>
      <c r="M15" s="2117"/>
      <c r="N15" s="2117"/>
      <c r="O15" s="2124"/>
      <c r="P15" s="3512" t="s">
        <v>540</v>
      </c>
      <c r="Q15" s="1558" t="str">
        <f t="shared" si="6"/>
        <v>产业集聚程度</v>
      </c>
      <c r="R15" s="1559" t="s">
        <v>8</v>
      </c>
      <c r="S15" s="1560">
        <f t="shared" si="0"/>
        <v>100</v>
      </c>
      <c r="T15" s="1559" t="s">
        <v>8</v>
      </c>
      <c r="U15" s="1560">
        <f t="shared" si="1"/>
        <v>100</v>
      </c>
      <c r="V15" s="1559" t="s">
        <v>8</v>
      </c>
      <c r="W15" s="1560">
        <f t="shared" si="2"/>
        <v>100</v>
      </c>
      <c r="X15" s="1553"/>
      <c r="Y15" s="3512" t="s">
        <v>540</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5"/>
      <c r="M16" s="2117"/>
      <c r="N16" s="2117"/>
      <c r="O16" s="2124"/>
      <c r="P16" s="3513"/>
      <c r="Q16" s="1558"/>
      <c r="R16" s="1559"/>
      <c r="S16" s="1560"/>
      <c r="T16" s="1559"/>
      <c r="U16" s="1560"/>
      <c r="V16" s="1559"/>
      <c r="W16" s="1560"/>
      <c r="X16" s="1553"/>
      <c r="Y16" s="3513"/>
      <c r="Z16" s="1561"/>
      <c r="AA16" s="1562">
        <v>1</v>
      </c>
      <c r="AB16" s="1562">
        <v>1</v>
      </c>
      <c r="AC16" s="1562">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5"/>
      <c r="M17" s="2117"/>
      <c r="N17" s="2117"/>
      <c r="O17" s="2124"/>
      <c r="P17" s="3513"/>
      <c r="Q17" s="1558" t="str">
        <f>B17</f>
        <v>交通便捷度</v>
      </c>
      <c r="R17" s="1559" t="s">
        <v>8</v>
      </c>
      <c r="S17" s="1560">
        <f>F17</f>
        <v>100</v>
      </c>
      <c r="T17" s="1559" t="s">
        <v>8</v>
      </c>
      <c r="U17" s="1560">
        <f>H17</f>
        <v>100</v>
      </c>
      <c r="V17" s="1559" t="s">
        <v>8</v>
      </c>
      <c r="W17" s="1560">
        <f>J17</f>
        <v>100</v>
      </c>
      <c r="X17" s="1553"/>
      <c r="Y17" s="3513"/>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5"/>
      <c r="M18" s="2117"/>
      <c r="N18" s="2117"/>
      <c r="O18" s="2124"/>
      <c r="P18" s="3513"/>
      <c r="Q18" s="1558"/>
      <c r="R18" s="1559"/>
      <c r="S18" s="1560"/>
      <c r="T18" s="1559"/>
      <c r="U18" s="1560"/>
      <c r="V18" s="1559"/>
      <c r="W18" s="1560"/>
      <c r="X18" s="1553"/>
      <c r="Y18" s="3513"/>
      <c r="Z18" s="1561"/>
      <c r="AA18" s="1562">
        <v>1</v>
      </c>
      <c r="AB18" s="1562">
        <v>1</v>
      </c>
      <c r="AC18" s="1562">
        <v>1</v>
      </c>
    </row>
    <row r="19" spans="1:29" ht="41.4">
      <c r="A19" s="532"/>
      <c r="B19" s="2565" t="s">
        <v>2543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5"/>
      <c r="M19" s="2117"/>
      <c r="N19" s="2117"/>
      <c r="O19" s="2124"/>
      <c r="P19" s="3513"/>
      <c r="Q19" s="1558" t="str">
        <f>B19</f>
        <v>公共配套设施</v>
      </c>
      <c r="R19" s="1559" t="s">
        <v>8</v>
      </c>
      <c r="S19" s="1560">
        <f>F19</f>
        <v>100</v>
      </c>
      <c r="T19" s="1559" t="s">
        <v>8</v>
      </c>
      <c r="U19" s="1560">
        <f>H19</f>
        <v>100</v>
      </c>
      <c r="V19" s="1559" t="s">
        <v>8</v>
      </c>
      <c r="W19" s="1560">
        <f>J19</f>
        <v>100</v>
      </c>
      <c r="X19" s="1553"/>
      <c r="Y19" s="3513"/>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5"/>
      <c r="M20" s="2117"/>
      <c r="N20" s="2117"/>
      <c r="O20" s="2124"/>
      <c r="P20" s="3513"/>
      <c r="Q20" s="1558"/>
      <c r="R20" s="1559"/>
      <c r="S20" s="1560"/>
      <c r="T20" s="1559"/>
      <c r="U20" s="1560"/>
      <c r="V20" s="1559"/>
      <c r="W20" s="1560"/>
      <c r="X20" s="1553"/>
      <c r="Y20" s="3513"/>
      <c r="Z20" s="1561"/>
      <c r="AA20" s="1562">
        <v>1</v>
      </c>
      <c r="AB20" s="1562">
        <v>1</v>
      </c>
      <c r="AC20" s="1562">
        <v>1</v>
      </c>
    </row>
    <row r="21" spans="1:29" ht="41.4">
      <c r="A21" s="532"/>
      <c r="B21" s="2553" t="s">
        <v>2555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5"/>
      <c r="M21" s="2117"/>
      <c r="N21" s="2117"/>
      <c r="O21" s="2124"/>
      <c r="P21" s="3513"/>
      <c r="Q21" s="2541" t="str">
        <f>B21</f>
        <v>基础设施水平</v>
      </c>
      <c r="R21" s="1559" t="s">
        <v>8</v>
      </c>
      <c r="S21" s="1560">
        <f>F21</f>
        <v>100</v>
      </c>
      <c r="T21" s="1559" t="s">
        <v>8</v>
      </c>
      <c r="U21" s="1560">
        <f>H21</f>
        <v>100</v>
      </c>
      <c r="V21" s="1559" t="s">
        <v>8</v>
      </c>
      <c r="W21" s="1560">
        <f>J21</f>
        <v>100</v>
      </c>
      <c r="X21" s="2543"/>
      <c r="Y21" s="3513"/>
      <c r="Z21" s="2542"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4"/>
      <c r="L22" s="2125"/>
      <c r="M22" s="2117"/>
      <c r="N22" s="2117"/>
      <c r="O22" s="2124"/>
      <c r="P22" s="3513"/>
      <c r="Q22" s="2541"/>
      <c r="R22" s="1559"/>
      <c r="S22" s="1560"/>
      <c r="T22" s="1559"/>
      <c r="U22" s="1560"/>
      <c r="V22" s="1559"/>
      <c r="W22" s="1560"/>
      <c r="X22" s="2543"/>
      <c r="Y22" s="3513"/>
      <c r="Z22" s="2542"/>
      <c r="AA22" s="1562">
        <v>1</v>
      </c>
      <c r="AB22" s="1562">
        <v>1</v>
      </c>
      <c r="AC22" s="1562">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5"/>
      <c r="M23" s="2117"/>
      <c r="N23" s="2117"/>
      <c r="O23" s="2124"/>
      <c r="P23" s="3513"/>
      <c r="Q23" s="1558" t="str">
        <f>B23</f>
        <v>环境质量</v>
      </c>
      <c r="R23" s="1559" t="s">
        <v>8</v>
      </c>
      <c r="S23" s="1560">
        <f>F23</f>
        <v>100</v>
      </c>
      <c r="T23" s="1559" t="s">
        <v>8</v>
      </c>
      <c r="U23" s="1560">
        <f>H23</f>
        <v>100</v>
      </c>
      <c r="V23" s="1559" t="s">
        <v>8</v>
      </c>
      <c r="W23" s="1560">
        <f>J23</f>
        <v>100</v>
      </c>
      <c r="X23" s="1553"/>
      <c r="Y23" s="3513"/>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5"/>
      <c r="M24" s="2117"/>
      <c r="N24" s="2117"/>
      <c r="O24" s="2124"/>
      <c r="P24" s="3513"/>
      <c r="Q24" s="1558"/>
      <c r="R24" s="1559"/>
      <c r="S24" s="1560"/>
      <c r="T24" s="1559"/>
      <c r="U24" s="1560"/>
      <c r="V24" s="1559"/>
      <c r="W24" s="1560"/>
      <c r="X24" s="1553"/>
      <c r="Y24" s="3513"/>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5"/>
      <c r="M25" s="2117"/>
      <c r="N25" s="2117"/>
      <c r="O25" s="2124"/>
      <c r="P25" s="3513"/>
      <c r="Q25" s="1558">
        <f>B25</f>
        <v>111</v>
      </c>
      <c r="R25" s="1559" t="s">
        <v>8</v>
      </c>
      <c r="S25" s="1560">
        <f>F25</f>
        <v>100</v>
      </c>
      <c r="T25" s="1559" t="s">
        <v>8</v>
      </c>
      <c r="U25" s="1560">
        <f>H25</f>
        <v>100</v>
      </c>
      <c r="V25" s="1559" t="s">
        <v>8</v>
      </c>
      <c r="W25" s="1560">
        <f>J25</f>
        <v>100</v>
      </c>
      <c r="X25" s="1553"/>
      <c r="Y25" s="3513"/>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5"/>
      <c r="M26" s="2117"/>
      <c r="N26" s="2117"/>
      <c r="O26" s="2124"/>
      <c r="P26" s="3513"/>
      <c r="Q26" s="1558">
        <f t="shared" ref="Q26:Q40" si="11">B26</f>
        <v>111</v>
      </c>
      <c r="R26" s="1559" t="s">
        <v>8</v>
      </c>
      <c r="S26" s="1560">
        <f>F26</f>
        <v>100</v>
      </c>
      <c r="T26" s="1559" t="s">
        <v>8</v>
      </c>
      <c r="U26" s="1560">
        <f>H26</f>
        <v>100</v>
      </c>
      <c r="V26" s="1559" t="s">
        <v>8</v>
      </c>
      <c r="W26" s="1560">
        <f>J26</f>
        <v>100</v>
      </c>
      <c r="X26" s="1553"/>
      <c r="Y26" s="3513"/>
      <c r="Z26" s="1561">
        <f>Q26</f>
        <v>111</v>
      </c>
      <c r="AA26" s="1562">
        <f t="shared" si="3"/>
        <v>1</v>
      </c>
      <c r="AB26" s="1562">
        <f t="shared" si="4"/>
        <v>1</v>
      </c>
      <c r="AC26" s="156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8"/>
      <c r="M27" s="2119"/>
      <c r="N27" s="2119"/>
      <c r="O27" s="2120"/>
      <c r="P27" s="3513"/>
      <c r="Q27" s="1147">
        <f t="shared" si="11"/>
        <v>111</v>
      </c>
      <c r="R27" s="1554" t="s">
        <v>8</v>
      </c>
      <c r="S27" s="1555">
        <f>F27</f>
        <v>100</v>
      </c>
      <c r="T27" s="1554" t="s">
        <v>8</v>
      </c>
      <c r="U27" s="1555">
        <f>H27</f>
        <v>100</v>
      </c>
      <c r="V27" s="1554" t="s">
        <v>8</v>
      </c>
      <c r="W27" s="1555">
        <f>J27</f>
        <v>100</v>
      </c>
      <c r="X27" s="1556"/>
      <c r="Y27" s="3513"/>
      <c r="Z27" s="1146">
        <f>Q27</f>
        <v>111</v>
      </c>
      <c r="AA27" s="1562">
        <f>D27/F27</f>
        <v>1</v>
      </c>
      <c r="AB27" s="1562">
        <f>D27/H27</f>
        <v>1</v>
      </c>
      <c r="AC27" s="1562">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5"/>
      <c r="M28" s="2117"/>
      <c r="N28" s="2117"/>
      <c r="O28" s="2124"/>
      <c r="P28" s="3513"/>
      <c r="Q28" s="1558">
        <f t="shared" si="11"/>
        <v>111</v>
      </c>
      <c r="R28" s="1559" t="s">
        <v>8</v>
      </c>
      <c r="S28" s="1560">
        <f t="shared" ref="S28:S40" si="12">F28</f>
        <v>100</v>
      </c>
      <c r="T28" s="1559" t="s">
        <v>8</v>
      </c>
      <c r="U28" s="1560">
        <f t="shared" ref="U28:U40" si="13">H28</f>
        <v>100</v>
      </c>
      <c r="V28" s="1559" t="s">
        <v>8</v>
      </c>
      <c r="W28" s="1560">
        <f t="shared" ref="W28:W40" si="14">J28</f>
        <v>100</v>
      </c>
      <c r="X28" s="1553"/>
      <c r="Y28" s="3513"/>
      <c r="Z28" s="1561">
        <f t="shared" ref="Z28:Z40" si="15">Q28</f>
        <v>111</v>
      </c>
      <c r="AA28" s="1562">
        <f t="shared" si="3"/>
        <v>1</v>
      </c>
      <c r="AB28" s="1562">
        <f t="shared" si="4"/>
        <v>1</v>
      </c>
      <c r="AC28" s="1562">
        <f t="shared" si="5"/>
        <v>1</v>
      </c>
    </row>
    <row r="29" spans="1:29" ht="15">
      <c r="A29" s="2860" t="s">
        <v>2751</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5"/>
      <c r="M29" s="2117"/>
      <c r="N29" s="2117"/>
      <c r="O29" s="2124"/>
      <c r="P29" s="3514" t="s">
        <v>550</v>
      </c>
      <c r="Q29" s="1558" t="str">
        <f t="shared" si="11"/>
        <v>建筑类型</v>
      </c>
      <c r="R29" s="1559" t="s">
        <v>8</v>
      </c>
      <c r="S29" s="1560">
        <f t="shared" si="12"/>
        <v>100</v>
      </c>
      <c r="T29" s="1559" t="s">
        <v>8</v>
      </c>
      <c r="U29" s="1560">
        <f t="shared" si="13"/>
        <v>100</v>
      </c>
      <c r="V29" s="1559" t="s">
        <v>8</v>
      </c>
      <c r="W29" s="1560">
        <f t="shared" si="14"/>
        <v>100</v>
      </c>
      <c r="X29" s="1553"/>
      <c r="Y29" s="3515" t="s">
        <v>550</v>
      </c>
      <c r="Z29" s="1561" t="str">
        <f t="shared" si="15"/>
        <v>建筑类型</v>
      </c>
      <c r="AA29" s="1562">
        <f t="shared" si="3"/>
        <v>1</v>
      </c>
      <c r="AB29" s="1562">
        <f t="shared" si="4"/>
        <v>1</v>
      </c>
      <c r="AC29" s="1562">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3"/>
      <c r="M30" s="2154"/>
      <c r="N30" s="2154"/>
      <c r="O30" s="2126"/>
      <c r="P30" s="3515"/>
      <c r="Q30" s="1590" t="str">
        <f t="shared" si="11"/>
        <v>项目建筑规模</v>
      </c>
      <c r="R30" s="1563" t="s">
        <v>8</v>
      </c>
      <c r="S30" s="1564" t="e">
        <f t="shared" si="12"/>
        <v>#N/A</v>
      </c>
      <c r="T30" s="1563" t="s">
        <v>8</v>
      </c>
      <c r="U30" s="1564" t="e">
        <f t="shared" si="13"/>
        <v>#N/A</v>
      </c>
      <c r="V30" s="1563" t="s">
        <v>8</v>
      </c>
      <c r="W30" s="1564" t="e">
        <f t="shared" si="14"/>
        <v>#N/A</v>
      </c>
      <c r="X30" s="1565"/>
      <c r="Y30" s="3515"/>
      <c r="Z30" s="1566" t="str">
        <f t="shared" si="15"/>
        <v>项目建筑规模</v>
      </c>
      <c r="AA30" s="1562" t="e">
        <f t="shared" si="3"/>
        <v>#N/A</v>
      </c>
      <c r="AB30" s="1562" t="e">
        <f t="shared" si="4"/>
        <v>#N/A</v>
      </c>
      <c r="AC30" s="156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5"/>
      <c r="M31" s="2117"/>
      <c r="N31" s="2117"/>
      <c r="O31" s="2124"/>
      <c r="P31" s="3515"/>
      <c r="Q31" s="1558" t="str">
        <f t="shared" si="11"/>
        <v>建筑结构</v>
      </c>
      <c r="R31" s="1559" t="s">
        <v>8</v>
      </c>
      <c r="S31" s="1560">
        <f t="shared" si="12"/>
        <v>100</v>
      </c>
      <c r="T31" s="1559" t="s">
        <v>8</v>
      </c>
      <c r="U31" s="1560">
        <f t="shared" si="13"/>
        <v>100</v>
      </c>
      <c r="V31" s="1559" t="s">
        <v>8</v>
      </c>
      <c r="W31" s="1560">
        <f t="shared" si="14"/>
        <v>100</v>
      </c>
      <c r="X31" s="1553"/>
      <c r="Y31" s="3515"/>
      <c r="Z31" s="1561" t="str">
        <f t="shared" si="15"/>
        <v>建筑结构</v>
      </c>
      <c r="AA31" s="1562">
        <f t="shared" si="3"/>
        <v>1</v>
      </c>
      <c r="AB31" s="1562">
        <f t="shared" si="4"/>
        <v>1</v>
      </c>
      <c r="AC31" s="156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5"/>
      <c r="M32" s="2117"/>
      <c r="N32" s="2117"/>
      <c r="O32" s="2124"/>
      <c r="P32" s="3515"/>
      <c r="Q32" s="1558" t="str">
        <f t="shared" si="11"/>
        <v>公共部分装修</v>
      </c>
      <c r="R32" s="1559" t="s">
        <v>8</v>
      </c>
      <c r="S32" s="1560">
        <f t="shared" si="12"/>
        <v>100</v>
      </c>
      <c r="T32" s="1559" t="s">
        <v>8</v>
      </c>
      <c r="U32" s="1560">
        <f t="shared" si="13"/>
        <v>100</v>
      </c>
      <c r="V32" s="1559" t="s">
        <v>8</v>
      </c>
      <c r="W32" s="1560">
        <f t="shared" si="14"/>
        <v>100</v>
      </c>
      <c r="X32" s="1553"/>
      <c r="Y32" s="3515"/>
      <c r="Z32" s="1561" t="str">
        <f t="shared" si="15"/>
        <v>公共部分装修</v>
      </c>
      <c r="AA32" s="1562">
        <f t="shared" si="3"/>
        <v>1</v>
      </c>
      <c r="AB32" s="1562">
        <f t="shared" si="4"/>
        <v>1</v>
      </c>
      <c r="AC32" s="1562">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5"/>
      <c r="M33" s="2117"/>
      <c r="N33" s="2117"/>
      <c r="O33" s="2124"/>
      <c r="P33" s="3515"/>
      <c r="Q33" s="1558" t="str">
        <f t="shared" si="11"/>
        <v>成新度</v>
      </c>
      <c r="R33" s="1559" t="s">
        <v>8</v>
      </c>
      <c r="S33" s="1560" t="e">
        <f t="shared" si="12"/>
        <v>#N/A</v>
      </c>
      <c r="T33" s="1559" t="s">
        <v>8</v>
      </c>
      <c r="U33" s="1560" t="e">
        <f t="shared" si="13"/>
        <v>#N/A</v>
      </c>
      <c r="V33" s="1559" t="s">
        <v>8</v>
      </c>
      <c r="W33" s="1560" t="e">
        <f t="shared" si="14"/>
        <v>#N/A</v>
      </c>
      <c r="X33" s="1553"/>
      <c r="Y33" s="3515"/>
      <c r="Z33" s="1561" t="str">
        <f t="shared" si="15"/>
        <v>成新度</v>
      </c>
      <c r="AA33" s="1562" t="e">
        <f t="shared" si="3"/>
        <v>#N/A</v>
      </c>
      <c r="AB33" s="1562" t="e">
        <f t="shared" si="4"/>
        <v>#N/A</v>
      </c>
      <c r="AC33" s="1562"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8"/>
      <c r="M34" s="2119"/>
      <c r="N34" s="2119"/>
      <c r="O34" s="2120"/>
      <c r="P34" s="3515"/>
      <c r="Q34" s="1147" t="str">
        <f t="shared" si="11"/>
        <v>物业管理</v>
      </c>
      <c r="R34" s="1554" t="s">
        <v>8</v>
      </c>
      <c r="S34" s="1555">
        <f t="shared" si="12"/>
        <v>100</v>
      </c>
      <c r="T34" s="1554" t="s">
        <v>8</v>
      </c>
      <c r="U34" s="1555">
        <f t="shared" si="13"/>
        <v>100</v>
      </c>
      <c r="V34" s="1554" t="s">
        <v>8</v>
      </c>
      <c r="W34" s="1555">
        <f t="shared" si="14"/>
        <v>100</v>
      </c>
      <c r="X34" s="1556"/>
      <c r="Y34" s="3515"/>
      <c r="Z34" s="1146" t="str">
        <f t="shared" si="15"/>
        <v>物业管理</v>
      </c>
      <c r="AA34" s="1557">
        <f t="shared" si="3"/>
        <v>1</v>
      </c>
      <c r="AB34" s="1557">
        <f t="shared" si="4"/>
        <v>1</v>
      </c>
      <c r="AC34" s="1557">
        <f t="shared" si="5"/>
        <v>1</v>
      </c>
    </row>
    <row r="35" spans="1:29" ht="15">
      <c r="A35" s="594"/>
      <c r="B35" s="1878"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5"/>
      <c r="M35" s="2117"/>
      <c r="N35" s="2117"/>
      <c r="O35" s="2124"/>
      <c r="P35" s="3515" t="s">
        <v>550</v>
      </c>
      <c r="Q35" s="1558" t="str">
        <f t="shared" si="11"/>
        <v>市政基础设施</v>
      </c>
      <c r="R35" s="1559" t="s">
        <v>8</v>
      </c>
      <c r="S35" s="1560">
        <f t="shared" si="12"/>
        <v>100</v>
      </c>
      <c r="T35" s="1559" t="s">
        <v>8</v>
      </c>
      <c r="U35" s="1560">
        <f t="shared" si="13"/>
        <v>100</v>
      </c>
      <c r="V35" s="1559" t="s">
        <v>8</v>
      </c>
      <c r="W35" s="1560">
        <f t="shared" si="14"/>
        <v>100</v>
      </c>
      <c r="X35" s="1553"/>
      <c r="Y35" s="3515" t="s">
        <v>550</v>
      </c>
      <c r="Z35" s="1561" t="str">
        <f t="shared" si="15"/>
        <v>市政基础设施</v>
      </c>
      <c r="AA35" s="1562">
        <f t="shared" si="3"/>
        <v>1</v>
      </c>
      <c r="AB35" s="1562">
        <f t="shared" si="4"/>
        <v>1</v>
      </c>
      <c r="AC35" s="156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5"/>
      <c r="M36" s="2117"/>
      <c r="N36" s="2117"/>
      <c r="O36" s="2124"/>
      <c r="P36" s="3515"/>
      <c r="Q36" s="1558" t="str">
        <f t="shared" si="11"/>
        <v>内部装修</v>
      </c>
      <c r="R36" s="1559" t="s">
        <v>8</v>
      </c>
      <c r="S36" s="1560">
        <f t="shared" si="12"/>
        <v>100</v>
      </c>
      <c r="T36" s="1559" t="s">
        <v>8</v>
      </c>
      <c r="U36" s="1560">
        <f t="shared" si="13"/>
        <v>100</v>
      </c>
      <c r="V36" s="1559" t="s">
        <v>8</v>
      </c>
      <c r="W36" s="1560">
        <f t="shared" si="14"/>
        <v>100</v>
      </c>
      <c r="X36" s="1553"/>
      <c r="Y36" s="3515"/>
      <c r="Z36" s="1561" t="str">
        <f t="shared" si="15"/>
        <v>内部装修</v>
      </c>
      <c r="AA36" s="1562">
        <f t="shared" si="3"/>
        <v>1</v>
      </c>
      <c r="AB36" s="1562">
        <f t="shared" si="4"/>
        <v>1</v>
      </c>
      <c r="AC36" s="156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5"/>
      <c r="M37" s="2117"/>
      <c r="N37" s="2117"/>
      <c r="O37" s="2124"/>
      <c r="P37" s="3515"/>
      <c r="Q37" s="1558" t="str">
        <f t="shared" si="11"/>
        <v>内部装修状况</v>
      </c>
      <c r="R37" s="1559" t="s">
        <v>8</v>
      </c>
      <c r="S37" s="1560">
        <f t="shared" si="12"/>
        <v>100</v>
      </c>
      <c r="T37" s="1559" t="s">
        <v>8</v>
      </c>
      <c r="U37" s="1560">
        <f t="shared" si="13"/>
        <v>100</v>
      </c>
      <c r="V37" s="1559" t="s">
        <v>8</v>
      </c>
      <c r="W37" s="1560">
        <f t="shared" si="14"/>
        <v>100</v>
      </c>
      <c r="X37" s="1553"/>
      <c r="Y37" s="3515"/>
      <c r="Z37" s="1561" t="str">
        <f t="shared" si="15"/>
        <v>内部装修状况</v>
      </c>
      <c r="AA37" s="1562">
        <f t="shared" si="3"/>
        <v>1</v>
      </c>
      <c r="AB37" s="1562">
        <f t="shared" si="4"/>
        <v>1</v>
      </c>
      <c r="AC37" s="1562">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3"/>
      <c r="M38" s="2154"/>
      <c r="N38" s="2154"/>
      <c r="O38" s="2126"/>
      <c r="P38" s="3515"/>
      <c r="Q38" s="1590">
        <f t="shared" si="11"/>
        <v>111</v>
      </c>
      <c r="R38" s="1563" t="s">
        <v>8</v>
      </c>
      <c r="S38" s="1564">
        <f t="shared" si="12"/>
        <v>100</v>
      </c>
      <c r="T38" s="1563" t="s">
        <v>8</v>
      </c>
      <c r="U38" s="1564">
        <f t="shared" si="13"/>
        <v>100</v>
      </c>
      <c r="V38" s="1563" t="s">
        <v>8</v>
      </c>
      <c r="W38" s="1564">
        <f t="shared" si="14"/>
        <v>100</v>
      </c>
      <c r="X38" s="1565"/>
      <c r="Y38" s="3515"/>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5"/>
      <c r="M39" s="2117"/>
      <c r="N39" s="2117"/>
      <c r="O39" s="2124"/>
      <c r="P39" s="3515"/>
      <c r="Q39" s="1558">
        <f t="shared" si="11"/>
        <v>111</v>
      </c>
      <c r="R39" s="1559" t="s">
        <v>8</v>
      </c>
      <c r="S39" s="1560">
        <f t="shared" si="12"/>
        <v>100</v>
      </c>
      <c r="T39" s="1559" t="s">
        <v>8</v>
      </c>
      <c r="U39" s="1560">
        <f t="shared" si="13"/>
        <v>100</v>
      </c>
      <c r="V39" s="1559" t="s">
        <v>8</v>
      </c>
      <c r="W39" s="1560">
        <f t="shared" si="14"/>
        <v>100</v>
      </c>
      <c r="X39" s="1553"/>
      <c r="Y39" s="3515"/>
      <c r="Z39" s="1561">
        <f t="shared" si="15"/>
        <v>111</v>
      </c>
      <c r="AA39" s="1562">
        <f t="shared" si="3"/>
        <v>1</v>
      </c>
      <c r="AB39" s="1562">
        <f t="shared" si="4"/>
        <v>1</v>
      </c>
      <c r="AC39" s="1562">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5"/>
      <c r="M40" s="2117"/>
      <c r="N40" s="2117"/>
      <c r="O40" s="2124"/>
      <c r="P40" s="3594"/>
      <c r="Q40" s="1558">
        <f t="shared" si="11"/>
        <v>111</v>
      </c>
      <c r="R40" s="1559" t="s">
        <v>8</v>
      </c>
      <c r="S40" s="1560">
        <f t="shared" si="12"/>
        <v>100</v>
      </c>
      <c r="T40" s="1559" t="s">
        <v>8</v>
      </c>
      <c r="U40" s="1560">
        <f t="shared" si="13"/>
        <v>100</v>
      </c>
      <c r="V40" s="1559" t="s">
        <v>8</v>
      </c>
      <c r="W40" s="1560">
        <f t="shared" si="14"/>
        <v>100</v>
      </c>
      <c r="X40" s="1553"/>
      <c r="Y40" s="3594"/>
      <c r="Z40" s="1561">
        <f t="shared" si="15"/>
        <v>111</v>
      </c>
      <c r="AA40" s="1562">
        <f t="shared" si="3"/>
        <v>1</v>
      </c>
      <c r="AB40" s="1562">
        <f t="shared" si="4"/>
        <v>1</v>
      </c>
      <c r="AC40" s="1562">
        <f t="shared" si="5"/>
        <v>1</v>
      </c>
    </row>
    <row r="41" spans="1:29" ht="14.4">
      <c r="A41" s="607" t="s">
        <v>736</v>
      </c>
      <c r="B41" s="887"/>
      <c r="C41" s="2589" t="s">
        <v>1</v>
      </c>
      <c r="D41" s="2590"/>
      <c r="E41" s="2591"/>
      <c r="F41" s="2592"/>
      <c r="G41" s="2593"/>
      <c r="H41" s="2594"/>
      <c r="I41" s="2591"/>
      <c r="J41" s="2594"/>
      <c r="K41" s="1596"/>
      <c r="L41" s="2127"/>
      <c r="M41" s="2128"/>
      <c r="N41" s="2117"/>
      <c r="O41" s="2128"/>
      <c r="P41" s="3510" t="str">
        <f>A41</f>
        <v>成交单价（元/平方米）</v>
      </c>
      <c r="Q41" s="3510"/>
      <c r="R41" s="3593">
        <f>E41</f>
        <v>0</v>
      </c>
      <c r="S41" s="3593"/>
      <c r="T41" s="3593">
        <f>G41</f>
        <v>0</v>
      </c>
      <c r="U41" s="3593"/>
      <c r="V41" s="3593">
        <f>I41</f>
        <v>0</v>
      </c>
      <c r="W41" s="3593"/>
      <c r="X41" s="1545"/>
      <c r="Y41" s="1567"/>
      <c r="Z41" s="1545"/>
      <c r="AA41" s="1545"/>
      <c r="AB41" s="1545"/>
      <c r="AC41" s="1545"/>
    </row>
    <row r="42" spans="1:29" ht="15" thickBot="1">
      <c r="A42" s="615" t="s">
        <v>2756</v>
      </c>
      <c r="B42" s="888"/>
      <c r="C42" s="2595" t="e">
        <f>R43</f>
        <v>#DIV/0!</v>
      </c>
      <c r="D42" s="2596"/>
      <c r="E42" s="2597" t="e">
        <f>R42</f>
        <v>#DIV/0!</v>
      </c>
      <c r="F42" s="2597"/>
      <c r="G42" s="2595" t="e">
        <f>T42</f>
        <v>#DIV/0!</v>
      </c>
      <c r="H42" s="2596"/>
      <c r="I42" s="2597" t="e">
        <f>V42</f>
        <v>#DIV/0!</v>
      </c>
      <c r="J42" s="2596"/>
      <c r="K42" s="1597"/>
      <c r="L42" s="2127"/>
      <c r="M42" s="2128"/>
      <c r="N42" s="2117"/>
      <c r="O42" s="2128"/>
      <c r="P42" s="3510" t="str">
        <f>A42</f>
        <v>比较价格（元/平方米）</v>
      </c>
      <c r="Q42" s="3510"/>
      <c r="R42" s="3593" t="e">
        <f>IF(F1="售价",ROUND(PRODUCT(R41,AA7:AA40),0),ROUND(PRODUCT(R41,AA7:AA40),1))</f>
        <v>#DIV/0!</v>
      </c>
      <c r="S42" s="3593"/>
      <c r="T42" s="3593" t="e">
        <f>IF(F1="售价",ROUND(PRODUCT(T41,AB7:AB40),0),ROUND(PRODUCT(T41,AB7:AB40),1))</f>
        <v>#DIV/0!</v>
      </c>
      <c r="U42" s="3593"/>
      <c r="V42" s="3593" t="e">
        <f>IF(F1="售价",ROUND(PRODUCT(V41,AC7:AC40),0),ROUND(PRODUCT(V41,AC7:AC40),1))</f>
        <v>#DIV/0!</v>
      </c>
      <c r="W42" s="3593"/>
      <c r="X42" s="1545"/>
      <c r="Y42" s="1545"/>
      <c r="Z42" s="1545"/>
      <c r="AA42" s="1545"/>
      <c r="AB42" s="1545"/>
      <c r="AC42" s="1545"/>
    </row>
    <row r="43" spans="1:29" ht="15" thickBot="1">
      <c r="A43" s="621" t="s">
        <v>2929</v>
      </c>
      <c r="B43" s="622"/>
      <c r="C43" s="2598" t="e">
        <f>R43</f>
        <v>#DIV/0!</v>
      </c>
      <c r="D43" s="2598"/>
      <c r="E43" s="2598"/>
      <c r="F43" s="2598"/>
      <c r="G43" s="2598"/>
      <c r="H43" s="2598"/>
      <c r="I43" s="2598"/>
      <c r="J43" s="2598"/>
      <c r="K43" s="1598"/>
      <c r="L43" s="2127"/>
      <c r="M43" s="2128"/>
      <c r="N43" s="2128"/>
      <c r="O43" s="2128"/>
      <c r="P43" s="3531" t="str">
        <f>A43</f>
        <v>估价对象XX用房的比较价格（楼面单价，元/平方米）</v>
      </c>
      <c r="Q43" s="3532"/>
      <c r="R43" s="3592" t="e">
        <f>IF(F1="售价",ROUND(AVERAGE(R42:V42),0),ROUND(AVERAGE(R42:V42),1))</f>
        <v>#DIV/0!</v>
      </c>
      <c r="S43" s="3592"/>
      <c r="T43" s="3592"/>
      <c r="U43" s="3592"/>
      <c r="V43" s="3592"/>
      <c r="W43" s="3592"/>
      <c r="X43" s="1545"/>
      <c r="Y43" s="1545"/>
      <c r="Z43" s="1545"/>
      <c r="AA43" s="1545"/>
      <c r="AB43" s="1545"/>
      <c r="AC43" s="1545"/>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41" customFormat="1" ht="13.5" customHeight="1">
      <c r="A48" s="2129"/>
      <c r="B48" s="2129"/>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41"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2.2" thickBot="1">
      <c r="A51" s="1570" t="s">
        <v>574</v>
      </c>
      <c r="B51" s="1545"/>
      <c r="C51" s="1569"/>
      <c r="D51" s="1569"/>
      <c r="E51" s="1569"/>
      <c r="F51" s="1571"/>
      <c r="G51" s="1571"/>
      <c r="H51" s="1569"/>
      <c r="I51" s="1569"/>
      <c r="J51" s="1569"/>
      <c r="K51" s="1572"/>
      <c r="L51" s="1568"/>
      <c r="M51" s="1569"/>
      <c r="N51" s="1569"/>
      <c r="O51" s="1569"/>
      <c r="P51" s="2140"/>
      <c r="Q51" s="2141"/>
      <c r="R51" s="2128"/>
      <c r="S51" s="2128"/>
      <c r="T51" s="2128"/>
      <c r="U51" s="2128"/>
      <c r="V51" s="2128"/>
      <c r="W51" s="2128"/>
      <c r="X51" s="2128"/>
      <c r="Y51" s="2128"/>
      <c r="Z51" s="2128"/>
      <c r="AA51" s="2128"/>
      <c r="AB51" s="2128"/>
      <c r="AC51" s="2128"/>
    </row>
    <row r="52" spans="1:29" s="1343" customFormat="1" ht="14.4">
      <c r="A52" s="645" t="s">
        <v>529</v>
      </c>
      <c r="B52" s="646"/>
      <c r="C52" s="2755" t="str">
        <f>YEAR(C7)&amp;"-"&amp;MONTH(C7)</f>
        <v>2020-2</v>
      </c>
      <c r="D52" s="2757">
        <f>EDATE(C52,-1)</f>
        <v>43831</v>
      </c>
      <c r="E52" s="2757">
        <f t="shared" ref="E52:O52" si="16">EDATE(D52,-1)</f>
        <v>43800</v>
      </c>
      <c r="F52" s="2757">
        <f t="shared" si="16"/>
        <v>43770</v>
      </c>
      <c r="G52" s="2757">
        <f t="shared" si="16"/>
        <v>43739</v>
      </c>
      <c r="H52" s="2757">
        <f t="shared" si="16"/>
        <v>43709</v>
      </c>
      <c r="I52" s="2757">
        <f t="shared" si="16"/>
        <v>43678</v>
      </c>
      <c r="J52" s="2757">
        <f t="shared" si="16"/>
        <v>43647</v>
      </c>
      <c r="K52" s="2757">
        <f t="shared" si="16"/>
        <v>43617</v>
      </c>
      <c r="L52" s="2757">
        <f t="shared" si="16"/>
        <v>43586</v>
      </c>
      <c r="M52" s="2757">
        <f t="shared" si="16"/>
        <v>43556</v>
      </c>
      <c r="N52" s="2757">
        <f t="shared" si="16"/>
        <v>43525</v>
      </c>
      <c r="O52" s="2757">
        <f t="shared" si="16"/>
        <v>43497</v>
      </c>
      <c r="P52" s="2143"/>
      <c r="Q52" s="2144"/>
      <c r="R52" s="2144"/>
      <c r="S52" s="2144"/>
      <c r="T52" s="2144"/>
      <c r="U52" s="2144"/>
      <c r="V52" s="2144"/>
      <c r="W52" s="2144"/>
      <c r="X52" s="2144"/>
      <c r="Y52" s="2144"/>
      <c r="Z52" s="2144"/>
      <c r="AA52" s="2144"/>
      <c r="AB52" s="2144"/>
      <c r="AC52" s="2144"/>
    </row>
    <row r="53" spans="1:29" s="1216" customFormat="1">
      <c r="A53" s="647"/>
      <c r="B53" s="648"/>
      <c r="C53" s="649">
        <v>100</v>
      </c>
      <c r="D53" s="650"/>
      <c r="E53" s="650"/>
      <c r="F53" s="650"/>
      <c r="G53" s="650"/>
      <c r="H53" s="650"/>
      <c r="I53" s="650"/>
      <c r="J53" s="650"/>
      <c r="K53" s="650"/>
      <c r="L53" s="650"/>
      <c r="M53" s="651"/>
      <c r="N53" s="650"/>
      <c r="O53" s="652"/>
      <c r="P53" s="2141"/>
      <c r="Q53" s="1976"/>
      <c r="R53" s="1976"/>
      <c r="S53" s="1976"/>
      <c r="T53" s="1976"/>
      <c r="U53" s="1976"/>
      <c r="V53" s="1976"/>
      <c r="W53" s="1976"/>
      <c r="X53" s="1976"/>
      <c r="Y53" s="1976"/>
      <c r="Z53" s="1976"/>
      <c r="AA53" s="1976"/>
      <c r="AB53" s="1976"/>
      <c r="AC53" s="1976"/>
    </row>
    <row r="54" spans="1:29" s="1216" customFormat="1" ht="15" thickBot="1">
      <c r="A54" s="653" t="s">
        <v>575</v>
      </c>
      <c r="B54" s="654"/>
      <c r="C54" s="655"/>
      <c r="D54" s="656"/>
      <c r="E54" s="656"/>
      <c r="F54" s="656"/>
      <c r="G54" s="656"/>
      <c r="H54" s="656"/>
      <c r="I54" s="656"/>
      <c r="J54" s="656"/>
      <c r="K54" s="656"/>
      <c r="L54" s="656"/>
      <c r="M54" s="657"/>
      <c r="N54" s="656"/>
      <c r="O54" s="658"/>
      <c r="P54" s="2141"/>
      <c r="Q54" s="2141"/>
      <c r="R54" s="1976"/>
      <c r="S54" s="1976"/>
      <c r="T54" s="1976"/>
      <c r="U54" s="1976"/>
      <c r="V54" s="1976"/>
      <c r="W54" s="1976"/>
      <c r="X54" s="1976"/>
      <c r="Y54" s="1976"/>
      <c r="Z54" s="1976"/>
      <c r="AA54" s="1976"/>
      <c r="AB54" s="1976"/>
      <c r="AC54" s="1976"/>
    </row>
    <row r="55" spans="1:29" s="1216" customFormat="1" ht="14.4">
      <c r="A55" s="659" t="s">
        <v>531</v>
      </c>
      <c r="B55" s="648"/>
      <c r="C55" s="660" t="s">
        <v>576</v>
      </c>
      <c r="D55" s="661"/>
      <c r="E55" s="661"/>
      <c r="F55" s="661"/>
      <c r="G55" s="661"/>
      <c r="H55" s="661"/>
      <c r="I55" s="661"/>
      <c r="J55" s="661"/>
      <c r="K55" s="661"/>
      <c r="L55" s="662"/>
      <c r="M55" s="663"/>
      <c r="N55" s="2145"/>
      <c r="O55" s="2145"/>
      <c r="P55" s="2146"/>
      <c r="Q55" s="2141"/>
      <c r="R55" s="1976"/>
      <c r="S55" s="1976"/>
      <c r="T55" s="1976"/>
      <c r="U55" s="1976"/>
      <c r="V55" s="1976"/>
      <c r="W55" s="1976"/>
      <c r="X55" s="1976"/>
      <c r="Y55" s="1976"/>
      <c r="Z55" s="1976"/>
      <c r="AA55" s="1976"/>
      <c r="AB55" s="1976"/>
      <c r="AC55" s="1976"/>
    </row>
    <row r="56" spans="1:29" s="1216" customFormat="1" ht="14.4" thickBot="1">
      <c r="A56" s="659"/>
      <c r="B56" s="648"/>
      <c r="C56" s="649">
        <v>100</v>
      </c>
      <c r="D56" s="650"/>
      <c r="E56" s="650"/>
      <c r="F56" s="650"/>
      <c r="G56" s="650"/>
      <c r="H56" s="650"/>
      <c r="I56" s="650"/>
      <c r="J56" s="650"/>
      <c r="K56" s="650"/>
      <c r="L56" s="650"/>
      <c r="M56" s="652"/>
      <c r="N56" s="2145"/>
      <c r="O56" s="2145"/>
      <c r="P56" s="2141"/>
      <c r="Q56" s="2141"/>
      <c r="R56" s="1976"/>
      <c r="S56" s="1976"/>
      <c r="T56" s="1976"/>
      <c r="U56" s="1976"/>
      <c r="V56" s="1976"/>
      <c r="W56" s="1976"/>
      <c r="X56" s="1976"/>
      <c r="Y56" s="1976"/>
      <c r="Z56" s="1976"/>
      <c r="AA56" s="1976"/>
      <c r="AB56" s="1976"/>
      <c r="AC56" s="1976"/>
    </row>
    <row r="57" spans="1:29" ht="14.4">
      <c r="A57" s="664" t="s">
        <v>577</v>
      </c>
      <c r="B57" s="665" t="s">
        <v>534</v>
      </c>
      <c r="C57" s="704">
        <f>C9</f>
        <v>0</v>
      </c>
      <c r="D57" s="598"/>
      <c r="E57" s="598"/>
      <c r="F57" s="598"/>
      <c r="G57" s="598"/>
      <c r="H57" s="598"/>
      <c r="I57" s="598"/>
      <c r="J57" s="598"/>
      <c r="K57" s="666"/>
      <c r="L57" s="667"/>
      <c r="M57" s="668"/>
      <c r="N57" s="2147"/>
      <c r="O57" s="2147"/>
      <c r="P57" s="2148"/>
      <c r="Q57" s="2141"/>
      <c r="R57" s="2128"/>
      <c r="S57" s="2128"/>
      <c r="T57" s="2128"/>
      <c r="U57" s="2128"/>
      <c r="V57" s="2128"/>
      <c r="W57" s="2128"/>
      <c r="X57" s="2128"/>
      <c r="Y57" s="2128"/>
      <c r="Z57" s="2128"/>
      <c r="AA57" s="2128"/>
      <c r="AB57" s="2128"/>
      <c r="AC57" s="2128"/>
    </row>
    <row r="58" spans="1:29" ht="14.4" thickBot="1">
      <c r="A58" s="669"/>
      <c r="B58" s="670"/>
      <c r="C58" s="671"/>
      <c r="D58" s="671"/>
      <c r="E58" s="671"/>
      <c r="F58" s="671"/>
      <c r="G58" s="671"/>
      <c r="H58" s="671"/>
      <c r="I58" s="671"/>
      <c r="J58" s="671"/>
      <c r="K58" s="671"/>
      <c r="L58" s="671"/>
      <c r="M58" s="672"/>
      <c r="N58" s="2149"/>
      <c r="O58" s="2149"/>
      <c r="P58" s="2148"/>
      <c r="Q58" s="2141"/>
      <c r="R58" s="2128"/>
      <c r="S58" s="2128"/>
      <c r="T58" s="2128"/>
      <c r="U58" s="2128"/>
      <c r="V58" s="2128"/>
      <c r="W58" s="2128"/>
      <c r="X58" s="2128"/>
      <c r="Y58" s="2128"/>
      <c r="Z58" s="2128"/>
      <c r="AA58" s="2128"/>
      <c r="AB58" s="2128"/>
      <c r="AC58" s="2128"/>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47"/>
      <c r="O59" s="2147"/>
      <c r="P59" s="2148"/>
      <c r="Q59" s="2141"/>
      <c r="R59" s="2128"/>
      <c r="S59" s="2128"/>
      <c r="T59" s="2128"/>
      <c r="U59" s="2128"/>
      <c r="V59" s="2128"/>
      <c r="W59" s="2128"/>
      <c r="X59" s="2128"/>
      <c r="Y59" s="2128"/>
      <c r="Z59" s="2128"/>
      <c r="AA59" s="2128"/>
      <c r="AB59" s="2128"/>
      <c r="AC59" s="2128"/>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49"/>
      <c r="O60" s="2149"/>
      <c r="P60" s="2148"/>
      <c r="Q60" s="2141"/>
      <c r="R60" s="2128"/>
      <c r="S60" s="2128"/>
      <c r="T60" s="2128"/>
      <c r="U60" s="2128"/>
      <c r="V60" s="2128"/>
      <c r="W60" s="2128"/>
      <c r="X60" s="2128"/>
      <c r="Y60" s="2128"/>
      <c r="Z60" s="2128"/>
      <c r="AA60" s="2128"/>
      <c r="AB60" s="2128"/>
      <c r="AC60" s="2128"/>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49"/>
      <c r="O61" s="2149"/>
      <c r="P61" s="2148"/>
      <c r="Q61" s="2141"/>
      <c r="R61" s="2128"/>
      <c r="S61" s="2128"/>
      <c r="T61" s="2128"/>
      <c r="U61" s="2128"/>
      <c r="V61" s="2128"/>
      <c r="W61" s="2128"/>
      <c r="X61" s="2128"/>
      <c r="Y61" s="2128"/>
      <c r="Z61" s="2128"/>
      <c r="AA61" s="2128"/>
      <c r="AB61" s="2128"/>
      <c r="AC61" s="2128"/>
    </row>
    <row r="62" spans="1:29">
      <c r="A62" s="669"/>
      <c r="B62" s="683"/>
      <c r="C62" s="541"/>
      <c r="D62" s="541"/>
      <c r="E62" s="541"/>
      <c r="F62" s="541"/>
      <c r="G62" s="541"/>
      <c r="H62" s="541"/>
      <c r="I62" s="541"/>
      <c r="J62" s="541"/>
      <c r="K62" s="684"/>
      <c r="L62" s="685"/>
      <c r="M62" s="686"/>
      <c r="N62" s="2147"/>
      <c r="O62" s="2147"/>
      <c r="P62" s="2148"/>
      <c r="Q62" s="2141"/>
      <c r="R62" s="2128"/>
      <c r="S62" s="2128"/>
      <c r="T62" s="2128"/>
      <c r="U62" s="2128"/>
      <c r="V62" s="2128"/>
      <c r="W62" s="2128"/>
      <c r="X62" s="2128"/>
      <c r="Y62" s="2128"/>
      <c r="Z62" s="2128"/>
      <c r="AA62" s="2128"/>
      <c r="AB62" s="2128"/>
      <c r="AC62" s="2128"/>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49"/>
      <c r="O63" s="2149"/>
      <c r="P63" s="2148"/>
      <c r="Q63" s="2141"/>
      <c r="R63" s="2128"/>
      <c r="S63" s="2128"/>
      <c r="T63" s="2128"/>
      <c r="U63" s="2128"/>
      <c r="V63" s="2128"/>
      <c r="W63" s="2128"/>
      <c r="X63" s="2128"/>
      <c r="Y63" s="2128"/>
      <c r="Z63" s="2128"/>
      <c r="AA63" s="2128"/>
      <c r="AB63" s="2128"/>
      <c r="AC63" s="2128"/>
    </row>
    <row r="64" spans="1:29" s="1335" customFormat="1" ht="14.4" thickTop="1">
      <c r="A64" s="687"/>
      <c r="B64" s="673">
        <f>B12</f>
        <v>111</v>
      </c>
      <c r="C64" s="688"/>
      <c r="D64" s="688"/>
      <c r="E64" s="688"/>
      <c r="F64" s="688"/>
      <c r="G64" s="688"/>
      <c r="H64" s="689"/>
      <c r="I64" s="689"/>
      <c r="J64" s="689"/>
      <c r="K64" s="689"/>
      <c r="L64" s="690"/>
      <c r="M64" s="691"/>
      <c r="N64" s="2150"/>
      <c r="O64" s="2150"/>
      <c r="P64" s="2151"/>
      <c r="Q64" s="2152"/>
      <c r="R64" s="2153"/>
      <c r="S64" s="2153"/>
      <c r="T64" s="2153"/>
      <c r="U64" s="2153"/>
      <c r="V64" s="2153"/>
      <c r="W64" s="2153"/>
      <c r="X64" s="2153"/>
      <c r="Y64" s="2153"/>
      <c r="Z64" s="2153"/>
      <c r="AA64" s="2153"/>
      <c r="AB64" s="2153"/>
      <c r="AC64" s="2153"/>
    </row>
    <row r="65" spans="1:29" s="1335" customFormat="1" ht="14.4" thickBot="1">
      <c r="A65" s="687"/>
      <c r="B65" s="678"/>
      <c r="C65" s="692"/>
      <c r="D65" s="671"/>
      <c r="E65" s="671"/>
      <c r="F65" s="671"/>
      <c r="G65" s="671"/>
      <c r="H65" s="671"/>
      <c r="I65" s="671"/>
      <c r="J65" s="671"/>
      <c r="K65" s="671"/>
      <c r="L65" s="671"/>
      <c r="M65" s="672"/>
      <c r="N65" s="2149"/>
      <c r="O65" s="2149"/>
      <c r="P65" s="2151"/>
      <c r="Q65" s="2152"/>
      <c r="R65" s="2153"/>
      <c r="S65" s="2153"/>
      <c r="T65" s="2153"/>
      <c r="U65" s="2153"/>
      <c r="V65" s="2153"/>
      <c r="W65" s="2153"/>
      <c r="X65" s="2153"/>
      <c r="Y65" s="2153"/>
      <c r="Z65" s="2153"/>
      <c r="AA65" s="2153"/>
      <c r="AB65" s="2153"/>
      <c r="AC65" s="2153"/>
    </row>
    <row r="66" spans="1:29" s="1335" customFormat="1" ht="14.4" thickTop="1">
      <c r="A66" s="687"/>
      <c r="B66" s="673">
        <f>B13</f>
        <v>111</v>
      </c>
      <c r="C66" s="688"/>
      <c r="D66" s="688"/>
      <c r="E66" s="688"/>
      <c r="F66" s="688"/>
      <c r="G66" s="688"/>
      <c r="H66" s="689"/>
      <c r="I66" s="689"/>
      <c r="J66" s="689"/>
      <c r="K66" s="689"/>
      <c r="L66" s="690"/>
      <c r="M66" s="691"/>
      <c r="N66" s="2150"/>
      <c r="O66" s="2150"/>
      <c r="P66" s="2154"/>
      <c r="Q66" s="2155"/>
      <c r="R66" s="2153"/>
      <c r="S66" s="2153"/>
      <c r="T66" s="2153"/>
      <c r="U66" s="2153"/>
      <c r="V66" s="2153"/>
      <c r="W66" s="2153"/>
      <c r="X66" s="2153"/>
      <c r="Y66" s="2153"/>
      <c r="Z66" s="2153"/>
      <c r="AA66" s="2153"/>
      <c r="AB66" s="2153"/>
      <c r="AC66" s="2153"/>
    </row>
    <row r="67" spans="1:29" s="1335" customFormat="1" ht="14.4" thickBot="1">
      <c r="A67" s="687"/>
      <c r="B67" s="678"/>
      <c r="C67" s="692"/>
      <c r="D67" s="671"/>
      <c r="E67" s="671"/>
      <c r="F67" s="671"/>
      <c r="G67" s="692"/>
      <c r="H67" s="693"/>
      <c r="I67" s="693"/>
      <c r="J67" s="693"/>
      <c r="K67" s="693"/>
      <c r="L67" s="693"/>
      <c r="M67" s="694"/>
      <c r="N67" s="2150"/>
      <c r="O67" s="2150"/>
      <c r="P67" s="2151"/>
      <c r="Q67" s="2152"/>
      <c r="R67" s="2153"/>
      <c r="S67" s="2153"/>
      <c r="T67" s="2153"/>
      <c r="U67" s="2153"/>
      <c r="V67" s="2153"/>
      <c r="W67" s="2153"/>
      <c r="X67" s="2153"/>
      <c r="Y67" s="2153"/>
      <c r="Z67" s="2153"/>
      <c r="AA67" s="2153"/>
      <c r="AB67" s="2153"/>
      <c r="AC67" s="2153"/>
    </row>
    <row r="68" spans="1:29" s="1335" customFormat="1" ht="14.4" thickTop="1">
      <c r="A68" s="687"/>
      <c r="B68" s="681">
        <f>B14</f>
        <v>111</v>
      </c>
      <c r="C68" s="661"/>
      <c r="D68" s="661"/>
      <c r="E68" s="661"/>
      <c r="F68" s="661"/>
      <c r="G68" s="661"/>
      <c r="H68" s="695"/>
      <c r="I68" s="695"/>
      <c r="J68" s="695"/>
      <c r="K68" s="695"/>
      <c r="L68" s="696"/>
      <c r="M68" s="697"/>
      <c r="N68" s="2150"/>
      <c r="O68" s="2150"/>
      <c r="P68" s="2156"/>
      <c r="Q68" s="2152"/>
      <c r="R68" s="2153"/>
      <c r="S68" s="2153"/>
      <c r="T68" s="2153"/>
      <c r="U68" s="2153"/>
      <c r="V68" s="2153"/>
      <c r="W68" s="2153"/>
      <c r="X68" s="2153"/>
      <c r="Y68" s="2153"/>
      <c r="Z68" s="2153"/>
      <c r="AA68" s="2153"/>
      <c r="AB68" s="2153"/>
      <c r="AC68" s="2153"/>
    </row>
    <row r="69" spans="1:29" s="1335" customFormat="1" ht="14.4" thickBot="1">
      <c r="A69" s="698"/>
      <c r="B69" s="699"/>
      <c r="C69" s="700"/>
      <c r="D69" s="700"/>
      <c r="E69" s="700"/>
      <c r="F69" s="700"/>
      <c r="G69" s="700"/>
      <c r="H69" s="701"/>
      <c r="I69" s="701"/>
      <c r="J69" s="701"/>
      <c r="K69" s="701"/>
      <c r="L69" s="701"/>
      <c r="M69" s="702"/>
      <c r="N69" s="2150"/>
      <c r="O69" s="2150"/>
      <c r="P69" s="2151"/>
      <c r="Q69" s="2152"/>
      <c r="R69" s="2153"/>
      <c r="S69" s="2153"/>
      <c r="T69" s="2153"/>
      <c r="U69" s="2153"/>
      <c r="V69" s="2153"/>
      <c r="W69" s="2153"/>
      <c r="X69" s="2153"/>
      <c r="Y69" s="2153"/>
      <c r="Z69" s="2153"/>
      <c r="AA69" s="2153"/>
      <c r="AB69" s="2153"/>
      <c r="AC69" s="2153"/>
    </row>
    <row r="70" spans="1:29" ht="14.4">
      <c r="A70" s="664" t="s">
        <v>539</v>
      </c>
      <c r="B70" s="665" t="s">
        <v>585</v>
      </c>
      <c r="C70" s="703" t="s">
        <v>579</v>
      </c>
      <c r="D70" s="703" t="s">
        <v>580</v>
      </c>
      <c r="E70" s="703" t="s">
        <v>581</v>
      </c>
      <c r="F70" s="703" t="s">
        <v>582</v>
      </c>
      <c r="G70" s="703" t="s">
        <v>583</v>
      </c>
      <c r="H70" s="704"/>
      <c r="I70" s="704"/>
      <c r="J70" s="704"/>
      <c r="K70" s="705"/>
      <c r="L70" s="706"/>
      <c r="M70" s="707"/>
      <c r="N70" s="2147"/>
      <c r="O70" s="2147"/>
      <c r="P70" s="2157"/>
      <c r="Q70" s="2141"/>
      <c r="R70" s="2128"/>
      <c r="S70" s="2128"/>
      <c r="T70" s="2128"/>
      <c r="U70" s="2128"/>
      <c r="V70" s="2128"/>
      <c r="W70" s="2128"/>
      <c r="X70" s="2128"/>
      <c r="Y70" s="2128"/>
      <c r="Z70" s="2128"/>
      <c r="AA70" s="2128"/>
      <c r="AB70" s="2128"/>
      <c r="AC70" s="2128"/>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49"/>
      <c r="O71" s="2149"/>
      <c r="P71" s="2148"/>
      <c r="Q71" s="2141"/>
      <c r="R71" s="2128"/>
      <c r="S71" s="2128"/>
      <c r="T71" s="2128"/>
      <c r="U71" s="2128"/>
      <c r="V71" s="2128"/>
      <c r="W71" s="2128"/>
      <c r="X71" s="2128"/>
      <c r="Y71" s="2128"/>
      <c r="Z71" s="2128"/>
      <c r="AA71" s="2128"/>
      <c r="AB71" s="2128"/>
      <c r="AC71" s="2128"/>
    </row>
    <row r="72" spans="1:29" ht="15" thickTop="1">
      <c r="A72" s="669"/>
      <c r="B72" s="673" t="s">
        <v>586</v>
      </c>
      <c r="C72" s="708" t="s">
        <v>579</v>
      </c>
      <c r="D72" s="708" t="s">
        <v>580</v>
      </c>
      <c r="E72" s="708" t="s">
        <v>581</v>
      </c>
      <c r="F72" s="708" t="s">
        <v>582</v>
      </c>
      <c r="G72" s="708" t="s">
        <v>583</v>
      </c>
      <c r="H72" s="674"/>
      <c r="I72" s="674"/>
      <c r="J72" s="674"/>
      <c r="K72" s="675"/>
      <c r="L72" s="676"/>
      <c r="M72" s="677"/>
      <c r="N72" s="2147"/>
      <c r="O72" s="2147"/>
      <c r="P72" s="2148"/>
      <c r="Q72" s="2141"/>
      <c r="R72" s="2128"/>
      <c r="S72" s="2128"/>
      <c r="T72" s="2128"/>
      <c r="U72" s="2128"/>
      <c r="V72" s="2128"/>
      <c r="W72" s="2128"/>
      <c r="X72" s="2128"/>
      <c r="Y72" s="2128"/>
      <c r="Z72" s="2128"/>
      <c r="AA72" s="2128"/>
      <c r="AB72" s="2128"/>
      <c r="AC72" s="2128"/>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49"/>
      <c r="O73" s="2149"/>
      <c r="P73" s="2148"/>
      <c r="Q73" s="2141"/>
      <c r="R73" s="2128"/>
      <c r="S73" s="2128"/>
      <c r="T73" s="2128"/>
      <c r="U73" s="2128"/>
      <c r="V73" s="2128"/>
      <c r="W73" s="2128"/>
      <c r="X73" s="2128"/>
      <c r="Y73" s="2128"/>
      <c r="Z73" s="2128"/>
      <c r="AA73" s="2128"/>
      <c r="AB73" s="2128"/>
      <c r="AC73" s="2128"/>
    </row>
    <row r="74" spans="1:29" ht="15" thickTop="1">
      <c r="A74" s="669"/>
      <c r="B74" s="1879" t="s">
        <v>2554</v>
      </c>
      <c r="C74" s="708" t="s">
        <v>579</v>
      </c>
      <c r="D74" s="708" t="s">
        <v>580</v>
      </c>
      <c r="E74" s="708" t="s">
        <v>581</v>
      </c>
      <c r="F74" s="708" t="s">
        <v>582</v>
      </c>
      <c r="G74" s="708" t="s">
        <v>583</v>
      </c>
      <c r="H74" s="674"/>
      <c r="I74" s="674"/>
      <c r="J74" s="674"/>
      <c r="K74" s="675"/>
      <c r="L74" s="676"/>
      <c r="M74" s="677"/>
      <c r="N74" s="2147"/>
      <c r="O74" s="2147"/>
      <c r="P74" s="2148"/>
      <c r="Q74" s="2141"/>
      <c r="R74" s="2128"/>
      <c r="S74" s="2128"/>
      <c r="T74" s="2128"/>
      <c r="U74" s="2128"/>
      <c r="V74" s="2128"/>
      <c r="W74" s="2128"/>
      <c r="X74" s="2128"/>
      <c r="Y74" s="2128"/>
      <c r="Z74" s="2128"/>
      <c r="AA74" s="2128"/>
      <c r="AB74" s="2128"/>
      <c r="AC74" s="2128"/>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49"/>
      <c r="O75" s="2149"/>
      <c r="P75" s="2148"/>
      <c r="Q75" s="2141"/>
      <c r="R75" s="2128"/>
      <c r="S75" s="2128"/>
      <c r="T75" s="2128"/>
      <c r="U75" s="2128"/>
      <c r="V75" s="2128"/>
      <c r="W75" s="2128"/>
      <c r="X75" s="2128"/>
      <c r="Y75" s="2128"/>
      <c r="Z75" s="2128"/>
      <c r="AA75" s="2128"/>
      <c r="AB75" s="2128"/>
      <c r="AC75" s="2128"/>
    </row>
    <row r="76" spans="1:29" ht="15" thickTop="1">
      <c r="A76" s="669"/>
      <c r="B76" s="2559" t="s">
        <v>2555</v>
      </c>
      <c r="C76" s="2560" t="s">
        <v>2556</v>
      </c>
      <c r="D76" s="2560" t="s">
        <v>2557</v>
      </c>
      <c r="E76" s="2560" t="s">
        <v>2558</v>
      </c>
      <c r="F76" s="2560" t="s">
        <v>2559</v>
      </c>
      <c r="G76" s="2560" t="s">
        <v>2560</v>
      </c>
      <c r="H76" s="935"/>
      <c r="I76" s="935"/>
      <c r="J76" s="935"/>
      <c r="K76" s="935"/>
      <c r="L76" s="935"/>
      <c r="M76" s="559"/>
      <c r="N76" s="2149"/>
      <c r="O76" s="2149"/>
      <c r="P76" s="2148"/>
      <c r="Q76" s="2141"/>
      <c r="R76" s="2128"/>
      <c r="S76" s="2128"/>
      <c r="T76" s="2128"/>
      <c r="U76" s="2128"/>
      <c r="V76" s="2128"/>
      <c r="W76" s="2128"/>
      <c r="X76" s="2128"/>
      <c r="Y76" s="2128"/>
      <c r="Z76" s="2128"/>
      <c r="AA76" s="2128"/>
      <c r="AB76" s="2128"/>
      <c r="AC76" s="2128"/>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 thickTop="1">
      <c r="A78" s="669"/>
      <c r="B78" s="673" t="s">
        <v>784</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s="1216" customFormat="1" ht="14.4" thickTop="1">
      <c r="A80" s="709"/>
      <c r="B80" s="673">
        <f>B25</f>
        <v>111</v>
      </c>
      <c r="C80" s="688"/>
      <c r="D80" s="688"/>
      <c r="E80" s="688"/>
      <c r="F80" s="688"/>
      <c r="G80" s="688"/>
      <c r="H80" s="688"/>
      <c r="I80" s="688"/>
      <c r="J80" s="688"/>
      <c r="K80" s="688"/>
      <c r="L80" s="890"/>
      <c r="M80" s="891"/>
      <c r="N80" s="2145"/>
      <c r="O80" s="2145"/>
      <c r="P80" s="2148"/>
      <c r="Q80" s="2141"/>
      <c r="R80" s="1976"/>
      <c r="S80" s="1976"/>
      <c r="T80" s="1976"/>
      <c r="U80" s="1976"/>
      <c r="V80" s="1976"/>
      <c r="W80" s="1976"/>
      <c r="X80" s="1976"/>
      <c r="Y80" s="1976"/>
      <c r="Z80" s="1976"/>
      <c r="AA80" s="1976"/>
      <c r="AB80" s="1976"/>
      <c r="AC80" s="1976"/>
    </row>
    <row r="81" spans="1:29" s="1216" customFormat="1" ht="14.4" thickBot="1">
      <c r="A81" s="709"/>
      <c r="B81" s="678"/>
      <c r="C81" s="692"/>
      <c r="D81" s="671"/>
      <c r="E81" s="671"/>
      <c r="F81" s="671"/>
      <c r="G81" s="671"/>
      <c r="H81" s="671"/>
      <c r="I81" s="671"/>
      <c r="J81" s="671"/>
      <c r="K81" s="671"/>
      <c r="L81" s="671"/>
      <c r="M81" s="672"/>
      <c r="N81" s="2149"/>
      <c r="O81" s="2149"/>
      <c r="P81" s="2148"/>
      <c r="Q81" s="2141"/>
      <c r="R81" s="1976"/>
      <c r="S81" s="1976"/>
      <c r="T81" s="1976"/>
      <c r="U81" s="1976"/>
      <c r="V81" s="1976"/>
      <c r="W81" s="1976"/>
      <c r="X81" s="1976"/>
      <c r="Y81" s="1976"/>
      <c r="Z81" s="1976"/>
      <c r="AA81" s="1976"/>
      <c r="AB81" s="1976"/>
      <c r="AC81" s="1976"/>
    </row>
    <row r="82" spans="1:29" s="1216" customFormat="1" ht="14.4" thickTop="1">
      <c r="A82" s="709"/>
      <c r="B82" s="673">
        <f>B26</f>
        <v>111</v>
      </c>
      <c r="C82" s="688"/>
      <c r="D82" s="688"/>
      <c r="E82" s="688"/>
      <c r="F82" s="688"/>
      <c r="G82" s="688"/>
      <c r="H82" s="688"/>
      <c r="I82" s="688"/>
      <c r="J82" s="688"/>
      <c r="K82" s="688"/>
      <c r="L82" s="890"/>
      <c r="M82" s="891"/>
      <c r="N82" s="2145"/>
      <c r="O82" s="2145"/>
      <c r="P82" s="2148"/>
      <c r="Q82" s="2141"/>
      <c r="R82" s="1976"/>
      <c r="S82" s="1976"/>
      <c r="T82" s="1976"/>
      <c r="U82" s="1976"/>
      <c r="V82" s="1976"/>
      <c r="W82" s="1976"/>
      <c r="X82" s="1976"/>
      <c r="Y82" s="1976"/>
      <c r="Z82" s="1976"/>
      <c r="AA82" s="1976"/>
      <c r="AB82" s="1976"/>
      <c r="AC82" s="1976"/>
    </row>
    <row r="83" spans="1:29" s="1216" customFormat="1" ht="14.4" thickBot="1">
      <c r="A83" s="709"/>
      <c r="B83" s="678"/>
      <c r="C83" s="692"/>
      <c r="D83" s="671"/>
      <c r="E83" s="671"/>
      <c r="F83" s="671"/>
      <c r="G83" s="671"/>
      <c r="H83" s="671"/>
      <c r="I83" s="671"/>
      <c r="J83" s="671"/>
      <c r="K83" s="671"/>
      <c r="L83" s="671"/>
      <c r="M83" s="672"/>
      <c r="N83" s="2149"/>
      <c r="O83" s="2149"/>
      <c r="P83" s="2148"/>
      <c r="Q83" s="2141"/>
      <c r="R83" s="1976"/>
      <c r="S83" s="1976"/>
      <c r="T83" s="1976"/>
      <c r="U83" s="1976"/>
      <c r="V83" s="1976"/>
      <c r="W83" s="1976"/>
      <c r="X83" s="1976"/>
      <c r="Y83" s="1976"/>
      <c r="Z83" s="1976"/>
      <c r="AA83" s="1976"/>
      <c r="AB83" s="1976"/>
      <c r="AC83" s="1976"/>
    </row>
    <row r="84" spans="1:29" s="1335" customFormat="1" ht="14.4" thickTop="1">
      <c r="A84" s="687"/>
      <c r="B84" s="673">
        <f>B27</f>
        <v>111</v>
      </c>
      <c r="C84" s="688"/>
      <c r="D84" s="688"/>
      <c r="E84" s="688"/>
      <c r="F84" s="688"/>
      <c r="G84" s="688"/>
      <c r="H84" s="688"/>
      <c r="I84" s="688"/>
      <c r="J84" s="688"/>
      <c r="K84" s="688"/>
      <c r="L84" s="890"/>
      <c r="M84" s="891"/>
      <c r="N84" s="2150"/>
      <c r="O84" s="2150"/>
      <c r="P84" s="2151"/>
      <c r="Q84" s="2152"/>
      <c r="R84" s="2153"/>
      <c r="S84" s="2153"/>
      <c r="T84" s="2153"/>
      <c r="U84" s="2153"/>
      <c r="V84" s="2153"/>
      <c r="W84" s="2153"/>
      <c r="X84" s="2153"/>
      <c r="Y84" s="2153"/>
      <c r="Z84" s="2153"/>
      <c r="AA84" s="2153"/>
      <c r="AB84" s="2153"/>
      <c r="AC84" s="2153"/>
    </row>
    <row r="85" spans="1:29" s="1335" customFormat="1" ht="14.4" thickBot="1">
      <c r="A85" s="687"/>
      <c r="B85" s="678"/>
      <c r="C85" s="692"/>
      <c r="D85" s="671"/>
      <c r="E85" s="671"/>
      <c r="F85" s="671"/>
      <c r="G85" s="671"/>
      <c r="H85" s="671"/>
      <c r="I85" s="671"/>
      <c r="J85" s="671"/>
      <c r="K85" s="671"/>
      <c r="L85" s="671"/>
      <c r="M85" s="672"/>
      <c r="N85" s="2150"/>
      <c r="O85" s="2150"/>
      <c r="P85" s="2151"/>
      <c r="Q85" s="2152"/>
      <c r="R85" s="2153"/>
      <c r="S85" s="2153"/>
      <c r="T85" s="2153"/>
      <c r="U85" s="2153"/>
      <c r="V85" s="2153"/>
      <c r="W85" s="2153"/>
      <c r="X85" s="2153"/>
      <c r="Y85" s="2153"/>
      <c r="Z85" s="2153"/>
      <c r="AA85" s="2153"/>
      <c r="AB85" s="2153"/>
      <c r="AC85" s="2153"/>
    </row>
    <row r="86" spans="1:29" ht="14.4" thickTop="1">
      <c r="A86" s="669"/>
      <c r="B86" s="681">
        <f>B28</f>
        <v>111</v>
      </c>
      <c r="C86" s="661"/>
      <c r="D86" s="661"/>
      <c r="E86" s="661"/>
      <c r="F86" s="661"/>
      <c r="G86" s="722"/>
      <c r="H86" s="722"/>
      <c r="I86" s="722"/>
      <c r="J86" s="722"/>
      <c r="K86" s="723"/>
      <c r="L86" s="724"/>
      <c r="M86" s="725"/>
      <c r="N86" s="2147"/>
      <c r="O86" s="2147"/>
      <c r="P86" s="2148"/>
      <c r="Q86" s="2141"/>
      <c r="R86" s="2128"/>
      <c r="S86" s="2128"/>
      <c r="T86" s="2128"/>
      <c r="U86" s="2128"/>
      <c r="V86" s="2128"/>
      <c r="W86" s="2128"/>
      <c r="X86" s="2128"/>
      <c r="Y86" s="2128"/>
      <c r="Z86" s="2128"/>
      <c r="AA86" s="2128"/>
      <c r="AB86" s="2128"/>
      <c r="AC86" s="2128"/>
    </row>
    <row r="87" spans="1:29" ht="14.4" thickBot="1">
      <c r="A87" s="893"/>
      <c r="B87" s="699"/>
      <c r="C87" s="700"/>
      <c r="D87" s="700"/>
      <c r="E87" s="700"/>
      <c r="F87" s="700"/>
      <c r="G87" s="726"/>
      <c r="H87" s="726"/>
      <c r="I87" s="726"/>
      <c r="J87" s="726"/>
      <c r="K87" s="726"/>
      <c r="L87" s="726"/>
      <c r="M87" s="727"/>
      <c r="N87" s="2149"/>
      <c r="O87" s="2149"/>
      <c r="P87" s="2148"/>
      <c r="Q87" s="2141"/>
      <c r="R87" s="2128"/>
      <c r="S87" s="2128"/>
      <c r="T87" s="2128"/>
      <c r="U87" s="2128"/>
      <c r="V87" s="2128"/>
      <c r="W87" s="2128"/>
      <c r="X87" s="2128"/>
      <c r="Y87" s="2128"/>
      <c r="Z87" s="2128"/>
      <c r="AA87" s="2128"/>
      <c r="AB87" s="2128"/>
      <c r="AC87" s="2128"/>
    </row>
    <row r="88" spans="1:29" ht="14.4">
      <c r="A88" s="664" t="s">
        <v>551</v>
      </c>
      <c r="B88" s="665" t="s">
        <v>747</v>
      </c>
      <c r="C88" s="598"/>
      <c r="D88" s="598"/>
      <c r="E88" s="598"/>
      <c r="F88" s="598"/>
      <c r="G88" s="598"/>
      <c r="H88" s="598"/>
      <c r="I88" s="598"/>
      <c r="J88" s="598"/>
      <c r="K88" s="666"/>
      <c r="L88" s="667"/>
      <c r="M88" s="668"/>
      <c r="N88" s="2147"/>
      <c r="O88" s="2147"/>
      <c r="P88" s="2148"/>
      <c r="Q88" s="2141"/>
      <c r="R88" s="2128"/>
      <c r="S88" s="2128"/>
      <c r="T88" s="2128"/>
      <c r="U88" s="2128"/>
      <c r="V88" s="2128"/>
      <c r="W88" s="2128"/>
      <c r="X88" s="2128"/>
      <c r="Y88" s="2128"/>
      <c r="Z88" s="2128"/>
      <c r="AA88" s="2128"/>
      <c r="AB88" s="2128"/>
      <c r="AC88" s="2128"/>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49"/>
      <c r="O89" s="2149"/>
      <c r="P89" s="2148"/>
      <c r="Q89" s="2141"/>
      <c r="R89" s="2128"/>
      <c r="S89" s="2128"/>
      <c r="T89" s="2128"/>
      <c r="U89" s="2128"/>
      <c r="V89" s="2128"/>
      <c r="W89" s="2128"/>
      <c r="X89" s="2128"/>
      <c r="Y89" s="2128"/>
      <c r="Z89" s="2128"/>
      <c r="AA89" s="2128"/>
      <c r="AB89" s="2128"/>
      <c r="AC89" s="2128"/>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5"/>
      <c r="O90" s="2145"/>
      <c r="P90" s="2148"/>
      <c r="Q90" s="2141"/>
      <c r="R90" s="2128"/>
      <c r="S90" s="2128"/>
      <c r="T90" s="2128"/>
      <c r="U90" s="2128"/>
      <c r="V90" s="2128"/>
      <c r="W90" s="2128"/>
      <c r="X90" s="2128"/>
      <c r="Y90" s="2128"/>
      <c r="Z90" s="2128"/>
      <c r="AA90" s="2128"/>
      <c r="AB90" s="2128"/>
      <c r="AC90" s="2128"/>
    </row>
    <row r="91" spans="1:29" s="1335" customFormat="1">
      <c r="A91" s="728"/>
      <c r="B91" s="729"/>
      <c r="C91" s="730"/>
      <c r="D91" s="730"/>
      <c r="E91" s="730"/>
      <c r="F91" s="730"/>
      <c r="G91" s="730"/>
      <c r="H91" s="730"/>
      <c r="I91" s="730"/>
      <c r="J91" s="731"/>
      <c r="K91" s="731"/>
      <c r="L91" s="732"/>
      <c r="M91" s="733"/>
      <c r="N91" s="2150"/>
      <c r="O91" s="2150"/>
      <c r="P91" s="2151"/>
      <c r="Q91" s="2152"/>
      <c r="R91" s="2153"/>
      <c r="S91" s="2153"/>
      <c r="T91" s="2153"/>
      <c r="U91" s="2153"/>
      <c r="V91" s="2153"/>
      <c r="W91" s="2153"/>
      <c r="X91" s="2153"/>
      <c r="Y91" s="2153"/>
      <c r="Z91" s="2153"/>
      <c r="AA91" s="2153"/>
      <c r="AB91" s="2153"/>
      <c r="AC91" s="2153"/>
    </row>
    <row r="92" spans="1:29" s="1335" customFormat="1" ht="14.4" thickBot="1">
      <c r="A92" s="687"/>
      <c r="B92" s="678"/>
      <c r="C92" s="692"/>
      <c r="D92" s="671"/>
      <c r="E92" s="671"/>
      <c r="F92" s="671"/>
      <c r="G92" s="671"/>
      <c r="H92" s="671"/>
      <c r="I92" s="671"/>
      <c r="J92" s="671"/>
      <c r="K92" s="671"/>
      <c r="L92" s="671"/>
      <c r="M92" s="672"/>
      <c r="N92" s="2149"/>
      <c r="O92" s="2149"/>
      <c r="P92" s="2151"/>
      <c r="Q92" s="2152"/>
      <c r="R92" s="2153"/>
      <c r="S92" s="2153"/>
      <c r="T92" s="2153"/>
      <c r="U92" s="2153"/>
      <c r="V92" s="2153"/>
      <c r="W92" s="2153"/>
      <c r="X92" s="2153"/>
      <c r="Y92" s="2153"/>
      <c r="Z92" s="2153"/>
      <c r="AA92" s="2153"/>
      <c r="AB92" s="2153"/>
      <c r="AC92" s="2153"/>
    </row>
    <row r="93" spans="1:29" ht="15" thickTop="1">
      <c r="A93" s="735"/>
      <c r="B93" s="673" t="s">
        <v>749</v>
      </c>
      <c r="C93" s="688"/>
      <c r="D93" s="688"/>
      <c r="E93" s="718"/>
      <c r="F93" s="718"/>
      <c r="G93" s="718"/>
      <c r="H93" s="718"/>
      <c r="I93" s="718"/>
      <c r="J93" s="718"/>
      <c r="K93" s="719"/>
      <c r="L93" s="720"/>
      <c r="M93" s="721"/>
      <c r="N93" s="2147"/>
      <c r="O93" s="2147"/>
      <c r="P93" s="2148"/>
      <c r="Q93" s="2141"/>
      <c r="R93" s="2128"/>
      <c r="S93" s="2128"/>
      <c r="T93" s="2128"/>
      <c r="U93" s="2128"/>
      <c r="V93" s="2128"/>
      <c r="W93" s="2128"/>
      <c r="X93" s="2128"/>
      <c r="Y93" s="2128"/>
      <c r="Z93" s="2128"/>
      <c r="AA93" s="2128"/>
      <c r="AB93" s="2128"/>
      <c r="AC93" s="2128"/>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5"/>
      <c r="B95" s="673" t="s">
        <v>751</v>
      </c>
      <c r="C95" s="688"/>
      <c r="D95" s="688"/>
      <c r="E95" s="688"/>
      <c r="F95" s="718"/>
      <c r="G95" s="718"/>
      <c r="H95" s="718"/>
      <c r="I95" s="718"/>
      <c r="J95" s="718"/>
      <c r="K95" s="719"/>
      <c r="L95" s="720"/>
      <c r="M95" s="721"/>
      <c r="N95" s="2147"/>
      <c r="O95" s="2147"/>
      <c r="P95" s="2148"/>
      <c r="Q95" s="2141"/>
      <c r="R95" s="2128"/>
      <c r="S95" s="2128"/>
      <c r="T95" s="2128"/>
      <c r="U95" s="2128"/>
      <c r="V95" s="2128"/>
      <c r="W95" s="2128"/>
      <c r="X95" s="2128"/>
      <c r="Y95" s="2128"/>
      <c r="Z95" s="2128"/>
      <c r="AA95" s="2128"/>
      <c r="AB95" s="2128"/>
      <c r="AC95" s="2128"/>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7"/>
      <c r="O97" s="2147"/>
      <c r="P97" s="2148"/>
      <c r="Q97" s="2141"/>
      <c r="R97" s="2128"/>
      <c r="S97" s="2128"/>
      <c r="T97" s="2128"/>
      <c r="U97" s="2128"/>
      <c r="V97" s="2128"/>
      <c r="W97" s="2128"/>
      <c r="X97" s="2128"/>
      <c r="Y97" s="2128"/>
      <c r="Z97" s="2128"/>
      <c r="AA97" s="2128"/>
      <c r="AB97" s="2128"/>
      <c r="AC97" s="2128"/>
    </row>
    <row r="98" spans="1:29">
      <c r="A98" s="735"/>
      <c r="B98" s="681"/>
      <c r="C98" s="894">
        <v>0.5</v>
      </c>
      <c r="D98" s="894">
        <v>0.6</v>
      </c>
      <c r="E98" s="894">
        <v>0.7</v>
      </c>
      <c r="F98" s="894">
        <v>0.8</v>
      </c>
      <c r="G98" s="894">
        <v>0.9</v>
      </c>
      <c r="H98" s="894">
        <v>1.0001</v>
      </c>
      <c r="I98" s="905"/>
      <c r="J98" s="905"/>
      <c r="K98" s="906"/>
      <c r="L98" s="907"/>
      <c r="M98" s="908"/>
      <c r="N98" s="2147"/>
      <c r="O98" s="2147"/>
      <c r="P98" s="2148"/>
      <c r="Q98" s="2141"/>
      <c r="R98" s="2128"/>
      <c r="S98" s="2128"/>
      <c r="T98" s="2128"/>
      <c r="U98" s="2128"/>
      <c r="V98" s="2128"/>
      <c r="W98" s="2128"/>
      <c r="X98" s="2128"/>
      <c r="Y98" s="2128"/>
      <c r="Z98" s="2128"/>
      <c r="AA98" s="2128"/>
      <c r="AB98" s="2128"/>
      <c r="AC98" s="2128"/>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49"/>
      <c r="O99" s="2149"/>
      <c r="P99" s="2148"/>
      <c r="Q99" s="2141"/>
      <c r="R99" s="2128"/>
      <c r="S99" s="2128"/>
      <c r="T99" s="2128"/>
      <c r="U99" s="2128"/>
      <c r="V99" s="2128"/>
      <c r="W99" s="2128"/>
      <c r="X99" s="2128"/>
      <c r="Y99" s="2128"/>
      <c r="Z99" s="2128"/>
      <c r="AA99" s="2128"/>
      <c r="AB99" s="2128"/>
      <c r="AC99" s="2128"/>
    </row>
    <row r="100" spans="1:29" s="1335" customFormat="1" ht="15" thickTop="1">
      <c r="A100" s="728"/>
      <c r="B100" s="673" t="s">
        <v>753</v>
      </c>
      <c r="C100" s="688"/>
      <c r="D100" s="688"/>
      <c r="E100" s="688"/>
      <c r="F100" s="688"/>
      <c r="G100" s="688"/>
      <c r="H100" s="718"/>
      <c r="I100" s="718"/>
      <c r="J100" s="718"/>
      <c r="K100" s="719"/>
      <c r="L100" s="720"/>
      <c r="M100" s="721"/>
      <c r="N100" s="2150"/>
      <c r="O100" s="2150"/>
      <c r="P100" s="2151"/>
      <c r="Q100" s="2152"/>
      <c r="R100" s="2153"/>
      <c r="S100" s="2153"/>
      <c r="T100" s="2153"/>
      <c r="U100" s="2153"/>
      <c r="V100" s="2153"/>
      <c r="W100" s="2153"/>
      <c r="X100" s="2153"/>
      <c r="Y100" s="2153"/>
      <c r="Z100" s="2153"/>
      <c r="AA100" s="2153"/>
      <c r="AB100" s="2153"/>
      <c r="AC100" s="2153"/>
    </row>
    <row r="101" spans="1:29" s="1335"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5"/>
      <c r="B102" s="1879" t="s">
        <v>2553</v>
      </c>
      <c r="C102" s="688"/>
      <c r="D102" s="688"/>
      <c r="E102" s="688"/>
      <c r="F102" s="688"/>
      <c r="G102" s="688"/>
      <c r="H102" s="718"/>
      <c r="I102" s="718"/>
      <c r="J102" s="718"/>
      <c r="K102" s="719"/>
      <c r="L102" s="720"/>
      <c r="M102" s="721"/>
      <c r="N102" s="2147"/>
      <c r="O102" s="2147"/>
      <c r="P102" s="2148"/>
      <c r="Q102" s="2141"/>
      <c r="R102" s="2128"/>
      <c r="S102" s="2128"/>
      <c r="T102" s="2128"/>
      <c r="U102" s="2128"/>
      <c r="V102" s="2128"/>
      <c r="W102" s="2128"/>
      <c r="X102" s="2128"/>
      <c r="Y102" s="2128"/>
      <c r="Z102" s="2128"/>
      <c r="AA102" s="2128"/>
      <c r="AB102" s="2128"/>
      <c r="AC102" s="2128"/>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5"/>
      <c r="B104" s="673" t="s">
        <v>755</v>
      </c>
      <c r="C104" s="688"/>
      <c r="D104" s="688"/>
      <c r="E104" s="688"/>
      <c r="F104" s="688"/>
      <c r="G104" s="688"/>
      <c r="H104" s="718"/>
      <c r="I104" s="718"/>
      <c r="J104" s="718"/>
      <c r="K104" s="719"/>
      <c r="L104" s="720"/>
      <c r="M104" s="721"/>
      <c r="N104" s="2147"/>
      <c r="O104" s="2147"/>
      <c r="P104" s="2148"/>
      <c r="Q104" s="2141"/>
      <c r="R104" s="2128"/>
      <c r="S104" s="2128"/>
      <c r="T104" s="2128"/>
      <c r="U104" s="2128"/>
      <c r="V104" s="2128"/>
      <c r="W104" s="2128"/>
      <c r="X104" s="2128"/>
      <c r="Y104" s="2128"/>
      <c r="Z104" s="2128"/>
      <c r="AA104" s="2128"/>
      <c r="AB104" s="2128"/>
      <c r="AC104" s="2128"/>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49"/>
      <c r="O105" s="2149"/>
      <c r="P105" s="2148"/>
      <c r="Q105" s="2141"/>
      <c r="R105" s="2128"/>
      <c r="S105" s="2128"/>
      <c r="T105" s="2128"/>
      <c r="U105" s="2128"/>
      <c r="V105" s="2128"/>
      <c r="W105" s="2128"/>
      <c r="X105" s="2128"/>
      <c r="Y105" s="2128"/>
      <c r="Z105" s="2128"/>
      <c r="AA105" s="2128"/>
      <c r="AB105" s="2128"/>
      <c r="AC105" s="2128"/>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49"/>
      <c r="O106" s="2149"/>
      <c r="P106" s="2188"/>
      <c r="Q106" s="2189"/>
      <c r="R106" s="2128"/>
      <c r="S106" s="2128"/>
      <c r="T106" s="2128"/>
      <c r="U106" s="2128"/>
      <c r="V106" s="2128"/>
      <c r="W106" s="2128"/>
      <c r="X106" s="2128"/>
      <c r="Y106" s="2128"/>
      <c r="Z106" s="2128"/>
      <c r="AA106" s="2128"/>
      <c r="AB106" s="2128"/>
      <c r="AC106" s="2128"/>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49"/>
      <c r="O107" s="2149"/>
      <c r="P107" s="2148"/>
      <c r="Q107" s="2141"/>
      <c r="R107" s="2128"/>
      <c r="S107" s="2128"/>
      <c r="T107" s="2128"/>
      <c r="U107" s="2128"/>
      <c r="V107" s="2128"/>
      <c r="W107" s="2128"/>
      <c r="X107" s="2128"/>
      <c r="Y107" s="2128"/>
      <c r="Z107" s="2128"/>
      <c r="AA107" s="2128"/>
      <c r="AB107" s="2128"/>
      <c r="AC107" s="2128"/>
    </row>
    <row r="108" spans="1:29" s="1335" customFormat="1" ht="14.4" thickTop="1">
      <c r="A108" s="728"/>
      <c r="B108" s="673">
        <f>B38</f>
        <v>111</v>
      </c>
      <c r="C108" s="688"/>
      <c r="D108" s="688"/>
      <c r="E108" s="688"/>
      <c r="F108" s="688"/>
      <c r="G108" s="688"/>
      <c r="H108" s="689"/>
      <c r="I108" s="689"/>
      <c r="J108" s="689"/>
      <c r="K108" s="689"/>
      <c r="L108" s="690"/>
      <c r="M108" s="691"/>
      <c r="N108" s="2150"/>
      <c r="O108" s="2150"/>
      <c r="P108" s="2151"/>
      <c r="Q108" s="2152"/>
      <c r="R108" s="2153"/>
      <c r="S108" s="2153"/>
      <c r="T108" s="2153"/>
      <c r="U108" s="2153"/>
      <c r="V108" s="2153"/>
      <c r="W108" s="2153"/>
      <c r="X108" s="2153"/>
      <c r="Y108" s="2153"/>
      <c r="Z108" s="2153"/>
      <c r="AA108" s="2153"/>
      <c r="AB108" s="2153"/>
      <c r="AC108" s="2153"/>
    </row>
    <row r="109" spans="1:29" s="1335" customFormat="1" ht="14.4" thickBot="1">
      <c r="A109" s="687"/>
      <c r="B109" s="670"/>
      <c r="C109" s="692"/>
      <c r="D109" s="671"/>
      <c r="E109" s="671"/>
      <c r="F109" s="671"/>
      <c r="G109" s="692"/>
      <c r="H109" s="693"/>
      <c r="I109" s="693"/>
      <c r="J109" s="693"/>
      <c r="K109" s="693"/>
      <c r="L109" s="693"/>
      <c r="M109" s="694"/>
      <c r="N109" s="2150"/>
      <c r="O109" s="2150"/>
      <c r="P109" s="2151"/>
      <c r="Q109" s="2152"/>
      <c r="R109" s="2153"/>
      <c r="S109" s="2153"/>
      <c r="T109" s="2153"/>
      <c r="U109" s="2153"/>
      <c r="V109" s="2153"/>
      <c r="W109" s="2153"/>
      <c r="X109" s="2153"/>
      <c r="Y109" s="2153"/>
      <c r="Z109" s="2153"/>
      <c r="AA109" s="2153"/>
      <c r="AB109" s="2153"/>
      <c r="AC109" s="2153"/>
    </row>
    <row r="110" spans="1:29" ht="14.4" thickTop="1">
      <c r="A110" s="735"/>
      <c r="B110" s="673">
        <f>B39</f>
        <v>111</v>
      </c>
      <c r="C110" s="688"/>
      <c r="D110" s="688"/>
      <c r="E110" s="688"/>
      <c r="F110" s="688"/>
      <c r="G110" s="688"/>
      <c r="H110" s="689"/>
      <c r="I110" s="689"/>
      <c r="J110" s="689"/>
      <c r="K110" s="689"/>
      <c r="L110" s="690"/>
      <c r="M110" s="691"/>
      <c r="N110" s="2147"/>
      <c r="O110" s="2147"/>
      <c r="P110" s="2148"/>
      <c r="Q110" s="2141"/>
      <c r="R110" s="2128"/>
      <c r="S110" s="2128"/>
      <c r="T110" s="2128"/>
      <c r="U110" s="2128"/>
      <c r="V110" s="2128"/>
      <c r="W110" s="2128"/>
      <c r="X110" s="2128"/>
      <c r="Y110" s="2128"/>
      <c r="Z110" s="2128"/>
      <c r="AA110" s="2128"/>
      <c r="AB110" s="2128"/>
      <c r="AC110" s="2128"/>
    </row>
    <row r="111" spans="1:29" ht="14.4" thickBot="1">
      <c r="A111" s="669"/>
      <c r="B111" s="678"/>
      <c r="C111" s="692"/>
      <c r="D111" s="671"/>
      <c r="E111" s="671"/>
      <c r="F111" s="671"/>
      <c r="G111" s="692"/>
      <c r="H111" s="693"/>
      <c r="I111" s="693"/>
      <c r="J111" s="693"/>
      <c r="K111" s="693"/>
      <c r="L111" s="693"/>
      <c r="M111" s="694"/>
      <c r="N111" s="2149"/>
      <c r="O111" s="2149"/>
      <c r="P111" s="2148"/>
      <c r="Q111" s="2141"/>
      <c r="R111" s="2128"/>
      <c r="S111" s="2128"/>
      <c r="T111" s="2128"/>
      <c r="U111" s="2128"/>
      <c r="V111" s="2128"/>
      <c r="W111" s="2128"/>
      <c r="X111" s="2128"/>
      <c r="Y111" s="2128"/>
      <c r="Z111" s="2128"/>
      <c r="AA111" s="2128"/>
      <c r="AB111" s="2128"/>
      <c r="AC111" s="2128"/>
    </row>
    <row r="112" spans="1:29" ht="14.4" thickTop="1">
      <c r="A112" s="735"/>
      <c r="B112" s="681">
        <f>B40</f>
        <v>111</v>
      </c>
      <c r="C112" s="661"/>
      <c r="D112" s="661"/>
      <c r="E112" s="661"/>
      <c r="F112" s="661"/>
      <c r="G112" s="722"/>
      <c r="H112" s="722"/>
      <c r="I112" s="722"/>
      <c r="J112" s="722"/>
      <c r="K112" s="661"/>
      <c r="L112" s="662"/>
      <c r="M112" s="725"/>
      <c r="N112" s="2147"/>
      <c r="O112" s="2147"/>
      <c r="P112" s="2148"/>
      <c r="Q112" s="2141"/>
      <c r="R112" s="2128"/>
      <c r="S112" s="2128"/>
      <c r="T112" s="2128"/>
      <c r="U112" s="2128"/>
      <c r="V112" s="2128"/>
      <c r="W112" s="2128"/>
      <c r="X112" s="2128"/>
      <c r="Y112" s="2128"/>
      <c r="Z112" s="2128"/>
      <c r="AA112" s="2128"/>
      <c r="AB112" s="2128"/>
      <c r="AC112" s="2128"/>
    </row>
    <row r="113" spans="1:29" ht="14.4" thickBot="1">
      <c r="A113" s="893"/>
      <c r="B113" s="699"/>
      <c r="C113" s="700"/>
      <c r="D113" s="700"/>
      <c r="E113" s="700"/>
      <c r="F113" s="700"/>
      <c r="G113" s="726"/>
      <c r="H113" s="726"/>
      <c r="I113" s="726"/>
      <c r="J113" s="726"/>
      <c r="K113" s="726"/>
      <c r="L113" s="726"/>
      <c r="M113" s="727"/>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xr:uid="{00000000-0002-0000-2800-000000000000}">
      <formula1>土地年限区间</formula1>
    </dataValidation>
    <dataValidation type="list" allowBlank="1" showInputMessage="1" showErrorMessage="1" sqref="D1" xr:uid="{00000000-0002-0000-2800-000001000000}">
      <formula1>项目类型</formula1>
    </dataValidation>
    <dataValidation type="list" allowBlank="1" showInputMessage="1" showErrorMessage="1" sqref="C20 G20 I20 E20" xr:uid="{00000000-0002-0000-2800-000002000000}">
      <formula1>公共配套设施</formula1>
    </dataValidation>
    <dataValidation type="list" allowBlank="1" showInputMessage="1" showErrorMessage="1" sqref="E18 G18 I18 C18" xr:uid="{00000000-0002-0000-2800-000003000000}">
      <formula1>交通便捷度</formula1>
    </dataValidation>
    <dataValidation type="list" allowBlank="1" showInputMessage="1" showErrorMessage="1" sqref="E24 G24 I24 C24" xr:uid="{00000000-0002-0000-2800-000004000000}">
      <formula1>环境</formula1>
    </dataValidation>
    <dataValidation type="list" allowBlank="1" showInputMessage="1" showErrorMessage="1" sqref="C8 E8 G8 I8" xr:uid="{00000000-0002-0000-2800-000005000000}">
      <formula1>工业交易情况</formula1>
    </dataValidation>
    <dataValidation type="list" allowBlank="1" showInputMessage="1" showErrorMessage="1" sqref="E9 G9 I9" xr:uid="{00000000-0002-0000-2800-000006000000}">
      <formula1>工业用途</formula1>
    </dataValidation>
    <dataValidation type="list" allowBlank="1" showInputMessage="1" showErrorMessage="1" sqref="C29 E29 G29 I29" xr:uid="{00000000-0002-0000-2800-000007000000}">
      <formula1>工业建筑类型</formula1>
    </dataValidation>
    <dataValidation type="list" allowBlank="1" showInputMessage="1" showErrorMessage="1" sqref="C31 E31 G31 I31" xr:uid="{00000000-0002-0000-2800-000008000000}">
      <formula1>工业建筑结构</formula1>
    </dataValidation>
    <dataValidation type="list" allowBlank="1" showInputMessage="1" showErrorMessage="1" sqref="C32 E32 G32 I32" xr:uid="{00000000-0002-0000-2800-000009000000}">
      <formula1>工业公共部分装修</formula1>
    </dataValidation>
    <dataValidation type="list" allowBlank="1" showInputMessage="1" showErrorMessage="1" sqref="C34 E34 G34 I34" xr:uid="{00000000-0002-0000-2800-00000A000000}">
      <formula1>工业物业管理</formula1>
    </dataValidation>
    <dataValidation type="list" allowBlank="1" showInputMessage="1" showErrorMessage="1" sqref="C35 E35 G35 I35" xr:uid="{00000000-0002-0000-2800-00000B000000}">
      <formula1>工业基础设施水平</formula1>
    </dataValidation>
    <dataValidation type="list" allowBlank="1" showInputMessage="1" showErrorMessage="1" sqref="C36 E36 G36 I36" xr:uid="{00000000-0002-0000-2800-00000C000000}">
      <formula1>工业内部装修</formula1>
    </dataValidation>
    <dataValidation type="list" allowBlank="1" showInputMessage="1" showErrorMessage="1" sqref="C37 E37 G37 I37" xr:uid="{00000000-0002-0000-2800-00000D000000}">
      <formula1>内部装修维护情况</formula1>
    </dataValidation>
    <dataValidation type="list" allowBlank="1" showInputMessage="1" showErrorMessage="1" sqref="C16 E16 G16 I16" xr:uid="{00000000-0002-0000-2800-00000E000000}">
      <formula1>产业集聚程度</formula1>
    </dataValidation>
    <dataValidation type="list" allowBlank="1" showInputMessage="1" showErrorMessage="1" sqref="C22 E22 G22 I22" xr:uid="{00000000-0002-0000-2800-00000F000000}">
      <formula1>基础设施水平</formula1>
    </dataValidation>
    <dataValidation type="list" allowBlank="1" showInputMessage="1" showErrorMessage="1" sqref="F1" xr:uid="{00000000-0002-0000-28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5">
    <tabColor rgb="FF92D050"/>
    <pageSetUpPr fitToPage="1"/>
  </sheetPr>
  <dimension ref="A1:AC235"/>
  <sheetViews>
    <sheetView zoomScale="80" zoomScaleNormal="80" workbookViewId="0">
      <selection activeCell="C108" sqref="C108:G113"/>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0"/>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IF(B37="元/平方米",ROUND(B3*D3/10000,0),ROUND(F3*C39/10000,0))</f>
        <v>#DIV/0!</v>
      </c>
      <c r="C2" s="2110"/>
      <c r="D2" s="2110"/>
      <c r="E2" s="2111"/>
      <c r="F2" s="2112"/>
      <c r="G2" s="2111"/>
      <c r="H2" s="2111"/>
      <c r="I2" s="2111"/>
      <c r="J2" s="2111"/>
      <c r="K2" s="2113"/>
      <c r="L2" s="2114"/>
      <c r="M2" s="2115"/>
      <c r="N2" s="2115"/>
      <c r="O2" s="2115"/>
      <c r="P2" s="1550"/>
      <c r="Q2" s="1550"/>
      <c r="R2" s="1550"/>
      <c r="S2" s="1550"/>
      <c r="T2" s="1550"/>
      <c r="U2" s="1550"/>
      <c r="V2" s="1550"/>
      <c r="W2" s="1550"/>
      <c r="X2" s="1550"/>
      <c r="Y2" s="1550"/>
      <c r="Z2" s="1550"/>
      <c r="AA2" s="1550"/>
      <c r="AB2" s="1550"/>
      <c r="AC2" s="1551"/>
    </row>
    <row r="3" spans="1:29" s="1332" customFormat="1" ht="28.5" customHeight="1" thickBot="1">
      <c r="A3" s="509" t="s">
        <v>795</v>
      </c>
      <c r="B3" s="510" t="e">
        <f>IF(B37="元/平方米",C39,ROUND(B2*10000/D3,0))</f>
        <v>#DIV/0!</v>
      </c>
      <c r="C3" s="852" t="s">
        <v>796</v>
      </c>
      <c r="D3" s="851">
        <f>SUMIF('数据-汇总表'!$C19:$C33,D1,'数据-汇总表'!$E19:$E33)</f>
        <v>0</v>
      </c>
      <c r="E3" s="1831" t="s">
        <v>2073</v>
      </c>
      <c r="F3" s="851">
        <f>SUMIF('数据-取费表'!A5:A15,D1,'数据-取费表'!AH5:AH15)</f>
        <v>0</v>
      </c>
      <c r="G3" s="2111"/>
      <c r="H3" s="2111"/>
      <c r="I3" s="2111"/>
      <c r="J3" s="2111"/>
      <c r="K3" s="2113"/>
      <c r="L3" s="2114"/>
      <c r="M3" s="2115"/>
      <c r="N3" s="2115"/>
      <c r="O3" s="2115"/>
      <c r="P3" s="1550"/>
      <c r="Q3" s="1550"/>
      <c r="R3" s="1550"/>
      <c r="S3" s="1550"/>
      <c r="T3" s="1550"/>
      <c r="U3" s="1550"/>
      <c r="V3" s="1550"/>
      <c r="W3" s="1550"/>
      <c r="X3" s="1550"/>
      <c r="Y3" s="1550"/>
      <c r="Z3" s="1550"/>
      <c r="AA3" s="1550"/>
      <c r="AB3" s="1552"/>
      <c r="AC3" s="428"/>
    </row>
    <row r="4" spans="1:29" ht="14.4">
      <c r="A4" s="512" t="s">
        <v>797</v>
      </c>
      <c r="B4" s="513"/>
      <c r="C4" s="3516" t="s">
        <v>798</v>
      </c>
      <c r="D4" s="3517"/>
      <c r="E4" s="3516" t="s">
        <v>799</v>
      </c>
      <c r="F4" s="3517"/>
      <c r="G4" s="3516" t="s">
        <v>800</v>
      </c>
      <c r="H4" s="3517"/>
      <c r="I4" s="3516" t="s">
        <v>801</v>
      </c>
      <c r="J4" s="3517"/>
      <c r="K4" s="514" t="s">
        <v>802</v>
      </c>
      <c r="L4" s="2116"/>
      <c r="M4" s="2117"/>
      <c r="N4" s="2117"/>
      <c r="O4" s="2117"/>
      <c r="P4" s="3518" t="s">
        <v>803</v>
      </c>
      <c r="Q4" s="3519"/>
      <c r="R4" s="3504" t="s">
        <v>799</v>
      </c>
      <c r="S4" s="3505"/>
      <c r="T4" s="3504" t="s">
        <v>800</v>
      </c>
      <c r="U4" s="3505"/>
      <c r="V4" s="3524" t="s">
        <v>801</v>
      </c>
      <c r="W4" s="3524"/>
      <c r="X4" s="1553"/>
      <c r="Y4" s="3504" t="s">
        <v>803</v>
      </c>
      <c r="Z4" s="3505"/>
      <c r="AA4" s="3499" t="s">
        <v>799</v>
      </c>
      <c r="AB4" s="3500" t="s">
        <v>800</v>
      </c>
      <c r="AC4" s="3499" t="s">
        <v>801</v>
      </c>
    </row>
    <row r="5" spans="1:29">
      <c r="A5" s="515"/>
      <c r="B5" s="516"/>
      <c r="C5" s="3527" t="s">
        <v>2923</v>
      </c>
      <c r="D5" s="3528"/>
      <c r="E5" s="3527" t="s">
        <v>2924</v>
      </c>
      <c r="F5" s="3528"/>
      <c r="G5" s="3527" t="s">
        <v>2925</v>
      </c>
      <c r="H5" s="3528"/>
      <c r="I5" s="3527" t="s">
        <v>2926</v>
      </c>
      <c r="J5" s="3528"/>
      <c r="K5" s="514"/>
      <c r="L5" s="2116"/>
      <c r="M5" s="2117"/>
      <c r="N5" s="2117"/>
      <c r="O5" s="2117"/>
      <c r="P5" s="3520"/>
      <c r="Q5" s="3521"/>
      <c r="R5" s="3506"/>
      <c r="S5" s="3507"/>
      <c r="T5" s="3506"/>
      <c r="U5" s="3507"/>
      <c r="V5" s="3524"/>
      <c r="W5" s="3524"/>
      <c r="X5" s="1553"/>
      <c r="Y5" s="3506"/>
      <c r="Z5" s="3507"/>
      <c r="AA5" s="3500"/>
      <c r="AB5" s="3500"/>
      <c r="AC5" s="3500"/>
    </row>
    <row r="6" spans="1:29" ht="15" thickBot="1">
      <c r="A6" s="517"/>
      <c r="B6" s="518"/>
      <c r="C6" s="3525" t="s">
        <v>2927</v>
      </c>
      <c r="D6" s="3526"/>
      <c r="E6" s="3529" t="s">
        <v>2927</v>
      </c>
      <c r="F6" s="3530"/>
      <c r="G6" s="3525" t="s">
        <v>2927</v>
      </c>
      <c r="H6" s="3526"/>
      <c r="I6" s="3525" t="s">
        <v>2927</v>
      </c>
      <c r="J6" s="3526"/>
      <c r="K6" s="514" t="s">
        <v>528</v>
      </c>
      <c r="L6" s="2116"/>
      <c r="M6" s="2117"/>
      <c r="N6" s="2117"/>
      <c r="O6" s="2117"/>
      <c r="P6" s="3522"/>
      <c r="Q6" s="3523"/>
      <c r="R6" s="3506"/>
      <c r="S6" s="3507"/>
      <c r="T6" s="3508"/>
      <c r="U6" s="3509"/>
      <c r="V6" s="3524"/>
      <c r="W6" s="3524"/>
      <c r="X6" s="1553"/>
      <c r="Y6" s="3508"/>
      <c r="Z6" s="3509"/>
      <c r="AA6" s="3501"/>
      <c r="AB6" s="3501"/>
      <c r="AC6" s="3501"/>
    </row>
    <row r="7" spans="1:29" s="1216" customFormat="1" ht="15" thickBot="1">
      <c r="A7" s="2865"/>
      <c r="B7" s="2872" t="s">
        <v>529</v>
      </c>
      <c r="C7" s="519">
        <f>'数据-取费表'!B2</f>
        <v>43889</v>
      </c>
      <c r="D7" s="520">
        <v>100</v>
      </c>
      <c r="E7" s="521"/>
      <c r="F7" s="522">
        <f>SUMIF(48:48,YEAR(E7)&amp;"-"&amp;MONTH(E7),49:49)</f>
        <v>0</v>
      </c>
      <c r="G7" s="523"/>
      <c r="H7" s="520">
        <f>SUMIF(48:48,YEAR(G7)&amp;"-"&amp;MONTH(G7),49:49)</f>
        <v>0</v>
      </c>
      <c r="I7" s="523"/>
      <c r="J7" s="520">
        <f>SUMIF(48:48,YEAR(I7)&amp;"-"&amp;MONTH(I7),49:49)</f>
        <v>0</v>
      </c>
      <c r="K7" s="524"/>
      <c r="L7" s="2118"/>
      <c r="M7" s="2119"/>
      <c r="N7" s="2119"/>
      <c r="O7" s="2119"/>
      <c r="P7" s="3502" t="s">
        <v>530</v>
      </c>
      <c r="Q7" s="3511"/>
      <c r="R7" s="1554" t="s">
        <v>8</v>
      </c>
      <c r="S7" s="1555">
        <f t="shared" ref="S7:S14" si="0">F7</f>
        <v>0</v>
      </c>
      <c r="T7" s="1554" t="s">
        <v>8</v>
      </c>
      <c r="U7" s="1555">
        <f t="shared" ref="U7:U14" si="1">H7</f>
        <v>0</v>
      </c>
      <c r="V7" s="1554" t="s">
        <v>8</v>
      </c>
      <c r="W7" s="1555">
        <f t="shared" ref="W7:W14" si="2">J7</f>
        <v>0</v>
      </c>
      <c r="X7" s="1556"/>
      <c r="Y7" s="3502" t="s">
        <v>530</v>
      </c>
      <c r="Z7" s="3503"/>
      <c r="AA7" s="1557" t="e">
        <f>D7/F7</f>
        <v>#DIV/0!</v>
      </c>
      <c r="AB7" s="1557" t="e">
        <f>D7/H7</f>
        <v>#DIV/0!</v>
      </c>
      <c r="AC7" s="1557" t="e">
        <f>D7/J7</f>
        <v>#DIV/0!</v>
      </c>
    </row>
    <row r="8" spans="1:29" s="1216" customFormat="1" ht="15" thickBot="1">
      <c r="A8" s="2866"/>
      <c r="B8" s="2873" t="s">
        <v>531</v>
      </c>
      <c r="C8" s="525" t="s">
        <v>576</v>
      </c>
      <c r="D8" s="520">
        <v>100</v>
      </c>
      <c r="E8" s="525"/>
      <c r="F8" s="522">
        <f>SUMIF(51:51,E8,52:52)-SUMIF(51:51,C8,52:52)+100</f>
        <v>0</v>
      </c>
      <c r="G8" s="525"/>
      <c r="H8" s="520">
        <f>SUMIF(51:51,G8,52:52)-SUMIF(51:51,C8,52:52)+100</f>
        <v>0</v>
      </c>
      <c r="I8" s="525"/>
      <c r="J8" s="520">
        <f>SUMIF(51:51,I8,52:52)-SUMIF(51:51,C8,52:52)+100</f>
        <v>0</v>
      </c>
      <c r="K8" s="524"/>
      <c r="L8" s="2118"/>
      <c r="M8" s="2119"/>
      <c r="N8" s="2119"/>
      <c r="O8" s="2119"/>
      <c r="P8" s="3502" t="s">
        <v>533</v>
      </c>
      <c r="Q8" s="3503"/>
      <c r="R8" s="1554" t="s">
        <v>8</v>
      </c>
      <c r="S8" s="1555">
        <f t="shared" si="0"/>
        <v>0</v>
      </c>
      <c r="T8" s="1554" t="s">
        <v>8</v>
      </c>
      <c r="U8" s="1555">
        <f t="shared" si="1"/>
        <v>0</v>
      </c>
      <c r="V8" s="1554" t="s">
        <v>8</v>
      </c>
      <c r="W8" s="1555">
        <f t="shared" si="2"/>
        <v>0</v>
      </c>
      <c r="X8" s="1556"/>
      <c r="Y8" s="3502" t="s">
        <v>533</v>
      </c>
      <c r="Z8" s="3503"/>
      <c r="AA8" s="1557" t="e">
        <f t="shared" ref="AA8:AA36" si="3">D8/F8</f>
        <v>#DIV/0!</v>
      </c>
      <c r="AB8" s="1557" t="e">
        <f t="shared" ref="AB8:AB36" si="4">D8/H8</f>
        <v>#DIV/0!</v>
      </c>
      <c r="AC8" s="1557" t="e">
        <f t="shared" ref="AC8:AC36" si="5">D8/J8</f>
        <v>#DIV/0!</v>
      </c>
    </row>
    <row r="9" spans="1:29" s="1216" customFormat="1" ht="14.4">
      <c r="A9" s="2867"/>
      <c r="B9" s="2874" t="s">
        <v>2752</v>
      </c>
      <c r="C9" s="857"/>
      <c r="D9" s="254">
        <v>100</v>
      </c>
      <c r="E9" s="860"/>
      <c r="F9" s="254">
        <f>SUMIF(53:53,E9,54:54)-SUMIF(53:53,C9,54:54)+100</f>
        <v>100</v>
      </c>
      <c r="G9" s="858"/>
      <c r="H9" s="254">
        <f>SUMIF(53:53,G9,54:54)-SUMIF(53:53,C9,54:54)+100</f>
        <v>100</v>
      </c>
      <c r="I9" s="858"/>
      <c r="J9" s="254">
        <f>SUMIF(53:53,I9,54:54)-SUMIF(53:53,C9,54:54)+100</f>
        <v>100</v>
      </c>
      <c r="K9" s="524"/>
      <c r="L9" s="2118"/>
      <c r="M9" s="2119"/>
      <c r="N9" s="2119"/>
      <c r="O9" s="2120"/>
      <c r="P9" s="3510" t="s">
        <v>535</v>
      </c>
      <c r="Q9" s="1147" t="str">
        <f t="shared" ref="Q9:Q14" si="6">B9</f>
        <v>用途</v>
      </c>
      <c r="R9" s="1554" t="s">
        <v>8</v>
      </c>
      <c r="S9" s="1555">
        <f t="shared" si="0"/>
        <v>100</v>
      </c>
      <c r="T9" s="1554" t="s">
        <v>8</v>
      </c>
      <c r="U9" s="1555">
        <f t="shared" si="1"/>
        <v>100</v>
      </c>
      <c r="V9" s="1554" t="s">
        <v>8</v>
      </c>
      <c r="W9" s="1555">
        <f t="shared" si="2"/>
        <v>100</v>
      </c>
      <c r="X9" s="1556"/>
      <c r="Y9" s="3467" t="s">
        <v>536</v>
      </c>
      <c r="Z9" s="1146" t="str">
        <f t="shared" ref="Z9:Z14" si="7">Q9</f>
        <v>用途</v>
      </c>
      <c r="AA9" s="1557">
        <f t="shared" si="3"/>
        <v>1</v>
      </c>
      <c r="AB9" s="1557">
        <f t="shared" si="4"/>
        <v>1</v>
      </c>
      <c r="AC9" s="1557">
        <f t="shared" si="5"/>
        <v>1</v>
      </c>
    </row>
    <row r="10" spans="1:29" s="1334" customFormat="1" ht="28.8">
      <c r="A10" s="2868"/>
      <c r="B10" s="2873" t="s">
        <v>2753</v>
      </c>
      <c r="C10" s="861"/>
      <c r="D10" s="255">
        <v>100</v>
      </c>
      <c r="E10" s="861"/>
      <c r="F10" s="255">
        <f>SUMIF(55:55,E10,56:56)-SUMIF(55:55,C10,56:56)+100</f>
        <v>100</v>
      </c>
      <c r="G10" s="862"/>
      <c r="H10" s="255">
        <f>SUMIF(55:55,G10,56:56)-SUMIF(55:55,C10,56:56)+100</f>
        <v>100</v>
      </c>
      <c r="I10" s="861"/>
      <c r="J10" s="255">
        <f>SUMIF(55:55,I10,56:56)-SUMIF(55:55,C10,56:56)+100</f>
        <v>100</v>
      </c>
      <c r="K10" s="584"/>
      <c r="L10" s="2121"/>
      <c r="M10" s="2161"/>
      <c r="N10" s="2161"/>
      <c r="O10" s="2122"/>
      <c r="P10" s="3510"/>
      <c r="Q10" s="1147" t="str">
        <f t="shared" si="6"/>
        <v>土地使用年限（年）</v>
      </c>
      <c r="R10" s="1554" t="s">
        <v>8</v>
      </c>
      <c r="S10" s="1555">
        <f t="shared" si="0"/>
        <v>100</v>
      </c>
      <c r="T10" s="1554" t="s">
        <v>8</v>
      </c>
      <c r="U10" s="1555">
        <f t="shared" si="1"/>
        <v>100</v>
      </c>
      <c r="V10" s="1554" t="s">
        <v>8</v>
      </c>
      <c r="W10" s="1555">
        <f t="shared" si="2"/>
        <v>100</v>
      </c>
      <c r="X10" s="1556"/>
      <c r="Y10" s="3467"/>
      <c r="Z10" s="1146" t="str">
        <f t="shared" si="7"/>
        <v>土地使用年限（年）</v>
      </c>
      <c r="AA10" s="1557">
        <f t="shared" si="3"/>
        <v>1</v>
      </c>
      <c r="AB10" s="1557">
        <f t="shared" si="4"/>
        <v>1</v>
      </c>
      <c r="AC10" s="1557">
        <f t="shared" si="5"/>
        <v>1</v>
      </c>
    </row>
    <row r="11" spans="1:29" ht="15">
      <c r="A11" s="2870"/>
      <c r="B11" s="2876">
        <v>111</v>
      </c>
      <c r="C11" s="528"/>
      <c r="D11" s="255">
        <v>100</v>
      </c>
      <c r="E11" s="528"/>
      <c r="F11" s="255">
        <f>SUMIF(57:57,E11,58:58)-SUMIF(57:57,C11,58:58)+100</f>
        <v>100</v>
      </c>
      <c r="G11" s="528"/>
      <c r="H11" s="255">
        <f>SUMIF(57:57,G11,58:58)-SUMIF(57:57,C11,58:58)+100</f>
        <v>100</v>
      </c>
      <c r="I11" s="528"/>
      <c r="J11" s="255">
        <f>SUMIF(57:57,I11,58:58)-SUMIF(57:57,C11,58:58)+100</f>
        <v>100</v>
      </c>
      <c r="K11" s="581"/>
      <c r="L11" s="2123"/>
      <c r="M11" s="2117"/>
      <c r="N11" s="2117"/>
      <c r="O11" s="2124"/>
      <c r="P11" s="3510"/>
      <c r="Q11" s="1147">
        <f t="shared" si="6"/>
        <v>111</v>
      </c>
      <c r="R11" s="1554" t="s">
        <v>8</v>
      </c>
      <c r="S11" s="1555">
        <f t="shared" si="0"/>
        <v>100</v>
      </c>
      <c r="T11" s="1554" t="s">
        <v>8</v>
      </c>
      <c r="U11" s="1555">
        <f t="shared" si="1"/>
        <v>100</v>
      </c>
      <c r="V11" s="1554" t="s">
        <v>8</v>
      </c>
      <c r="W11" s="1555">
        <f t="shared" si="2"/>
        <v>100</v>
      </c>
      <c r="X11" s="1556"/>
      <c r="Y11" s="3467"/>
      <c r="Z11" s="1146">
        <f t="shared" si="7"/>
        <v>111</v>
      </c>
      <c r="AA11" s="1557">
        <f t="shared" si="3"/>
        <v>1</v>
      </c>
      <c r="AB11" s="1557">
        <f t="shared" si="4"/>
        <v>1</v>
      </c>
      <c r="AC11" s="1557">
        <f t="shared" si="5"/>
        <v>1</v>
      </c>
    </row>
    <row r="12" spans="1:29" s="1216" customFormat="1" ht="15">
      <c r="A12" s="2870"/>
      <c r="B12" s="2876">
        <v>111</v>
      </c>
      <c r="C12" s="528"/>
      <c r="D12" s="538">
        <v>100</v>
      </c>
      <c r="E12" s="528"/>
      <c r="F12" s="255">
        <f>SUMIF(59:59,E12,60:60)-SUMIF(59:59,C12,60:60)+100</f>
        <v>100</v>
      </c>
      <c r="G12" s="528"/>
      <c r="H12" s="255">
        <f>SUMIF(59:59,G12,60:60)-SUMIF(59:59,C12,60:60)+100</f>
        <v>100</v>
      </c>
      <c r="I12" s="528"/>
      <c r="J12" s="255">
        <f>SUMIF(59:59,I12,60:60)-SUMIF(59:59,C12,60:60)+100</f>
        <v>100</v>
      </c>
      <c r="K12" s="581"/>
      <c r="L12" s="2118"/>
      <c r="M12" s="2119"/>
      <c r="N12" s="2119"/>
      <c r="O12" s="2120"/>
      <c r="P12" s="3510"/>
      <c r="Q12" s="1147">
        <f t="shared" si="6"/>
        <v>111</v>
      </c>
      <c r="R12" s="1554" t="s">
        <v>8</v>
      </c>
      <c r="S12" s="1555">
        <f t="shared" si="0"/>
        <v>100</v>
      </c>
      <c r="T12" s="1554" t="s">
        <v>8</v>
      </c>
      <c r="U12" s="1555">
        <f t="shared" si="1"/>
        <v>100</v>
      </c>
      <c r="V12" s="1554" t="s">
        <v>8</v>
      </c>
      <c r="W12" s="1555">
        <f t="shared" si="2"/>
        <v>100</v>
      </c>
      <c r="X12" s="1556"/>
      <c r="Y12" s="3467"/>
      <c r="Z12" s="1146">
        <f t="shared" si="7"/>
        <v>111</v>
      </c>
      <c r="AA12" s="1557">
        <f>D12/F12</f>
        <v>1</v>
      </c>
      <c r="AB12" s="1557">
        <f>D12/H12</f>
        <v>1</v>
      </c>
      <c r="AC12" s="1557">
        <f>D12/J12</f>
        <v>1</v>
      </c>
    </row>
    <row r="13" spans="1:29" ht="15.6" thickBot="1">
      <c r="A13" s="2871"/>
      <c r="B13" s="2877">
        <v>111</v>
      </c>
      <c r="C13" s="539"/>
      <c r="D13" s="540">
        <v>100</v>
      </c>
      <c r="E13" s="528"/>
      <c r="F13" s="255">
        <f>SUMIF(61:61,E13,62:62)-SUMIF(61:61,C13,62:62)+100</f>
        <v>100</v>
      </c>
      <c r="G13" s="528"/>
      <c r="H13" s="540">
        <f>SUMIF(61:61,G13,62:62)-SUMIF(61:61,C13,62:62)+100</f>
        <v>100</v>
      </c>
      <c r="I13" s="528"/>
      <c r="J13" s="540">
        <f>SUMIF(61:61,I13,62:62)-SUMIF(61:61,C13,62:62)+100</f>
        <v>100</v>
      </c>
      <c r="K13" s="581"/>
      <c r="L13" s="2125"/>
      <c r="M13" s="2117"/>
      <c r="N13" s="2117"/>
      <c r="O13" s="2124"/>
      <c r="P13" s="3510"/>
      <c r="Q13" s="1147">
        <f t="shared" si="6"/>
        <v>111</v>
      </c>
      <c r="R13" s="1554" t="s">
        <v>8</v>
      </c>
      <c r="S13" s="1555">
        <f t="shared" si="0"/>
        <v>100</v>
      </c>
      <c r="T13" s="1554" t="s">
        <v>8</v>
      </c>
      <c r="U13" s="1555">
        <f t="shared" si="1"/>
        <v>100</v>
      </c>
      <c r="V13" s="1554" t="s">
        <v>8</v>
      </c>
      <c r="W13" s="1555">
        <f t="shared" si="2"/>
        <v>100</v>
      </c>
      <c r="X13" s="1556"/>
      <c r="Y13" s="3467"/>
      <c r="Z13" s="1146">
        <f t="shared" si="7"/>
        <v>111</v>
      </c>
      <c r="AA13" s="1557">
        <f t="shared" si="3"/>
        <v>1</v>
      </c>
      <c r="AB13" s="1557">
        <f t="shared" si="4"/>
        <v>1</v>
      </c>
      <c r="AC13" s="1557">
        <f t="shared" si="5"/>
        <v>1</v>
      </c>
    </row>
    <row r="14" spans="1:29" ht="15">
      <c r="A14" s="2863" t="s">
        <v>2750</v>
      </c>
      <c r="B14" s="547" t="s">
        <v>543</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25"/>
      <c r="M14" s="2117"/>
      <c r="N14" s="2117"/>
      <c r="O14" s="2124"/>
      <c r="P14" s="3512" t="s">
        <v>540</v>
      </c>
      <c r="Q14" s="1558" t="str">
        <f t="shared" si="6"/>
        <v>交通便捷度</v>
      </c>
      <c r="R14" s="1559" t="s">
        <v>8</v>
      </c>
      <c r="S14" s="1560">
        <f t="shared" si="0"/>
        <v>100</v>
      </c>
      <c r="T14" s="1559" t="s">
        <v>8</v>
      </c>
      <c r="U14" s="1560">
        <f t="shared" si="1"/>
        <v>100</v>
      </c>
      <c r="V14" s="1559" t="s">
        <v>8</v>
      </c>
      <c r="W14" s="1560">
        <f t="shared" si="2"/>
        <v>100</v>
      </c>
      <c r="X14" s="1553"/>
      <c r="Y14" s="3512" t="s">
        <v>540</v>
      </c>
      <c r="Z14" s="1561" t="str">
        <f t="shared" si="7"/>
        <v>交通便捷度</v>
      </c>
      <c r="AA14" s="1562">
        <f t="shared" si="3"/>
        <v>1</v>
      </c>
      <c r="AB14" s="1562">
        <f t="shared" si="4"/>
        <v>1</v>
      </c>
      <c r="AC14" s="1562">
        <f t="shared" si="5"/>
        <v>1</v>
      </c>
    </row>
    <row r="15" spans="1:29" ht="15">
      <c r="A15" s="515"/>
      <c r="B15" s="924"/>
      <c r="C15" s="576"/>
      <c r="D15" s="555"/>
      <c r="E15" s="576"/>
      <c r="F15" s="557"/>
      <c r="G15" s="576"/>
      <c r="H15" s="559"/>
      <c r="I15" s="576"/>
      <c r="J15" s="555"/>
      <c r="K15" s="899"/>
      <c r="L15" s="2125"/>
      <c r="M15" s="2117"/>
      <c r="N15" s="2117"/>
      <c r="O15" s="2124"/>
      <c r="P15" s="3513"/>
      <c r="Q15" s="1558"/>
      <c r="R15" s="1559"/>
      <c r="S15" s="1560"/>
      <c r="T15" s="1559"/>
      <c r="U15" s="1560"/>
      <c r="V15" s="1559"/>
      <c r="W15" s="1560"/>
      <c r="X15" s="1553"/>
      <c r="Y15" s="3513"/>
      <c r="Z15" s="1561"/>
      <c r="AA15" s="1562">
        <v>1</v>
      </c>
      <c r="AB15" s="1562">
        <v>1</v>
      </c>
      <c r="AC15" s="1562">
        <v>1</v>
      </c>
    </row>
    <row r="16" spans="1:29" ht="15">
      <c r="A16" s="515"/>
      <c r="B16" s="2565" t="s">
        <v>2543</v>
      </c>
      <c r="C16" s="872" t="str">
        <f>IF(B1="工业",估价对象房地状况!G5,估价对象房地状况!C7)</f>
        <v>一般</v>
      </c>
      <c r="D16" s="565">
        <v>100</v>
      </c>
      <c r="E16" s="572"/>
      <c r="F16" s="571">
        <f>SUMIF(65:65,E17,66:66)-SUMIF(65:65,C17,66:66)+100</f>
        <v>100</v>
      </c>
      <c r="G16" s="572"/>
      <c r="H16" s="565">
        <f>SUMIF(65:65,G17,66:66)-SUMIF(65:65,C17,66:66)+100</f>
        <v>100</v>
      </c>
      <c r="I16" s="570"/>
      <c r="J16" s="565">
        <f>SUMIF(65:65,I17,66:66)-SUMIF(65:65,C17,66:66)+100</f>
        <v>100</v>
      </c>
      <c r="K16" s="898"/>
      <c r="L16" s="2125"/>
      <c r="M16" s="2117"/>
      <c r="N16" s="2117"/>
      <c r="O16" s="2124"/>
      <c r="P16" s="3513"/>
      <c r="Q16" s="1558" t="str">
        <f>B16</f>
        <v>公共配套设施</v>
      </c>
      <c r="R16" s="1559" t="s">
        <v>8</v>
      </c>
      <c r="S16" s="1560">
        <f>F16</f>
        <v>100</v>
      </c>
      <c r="T16" s="1559" t="s">
        <v>8</v>
      </c>
      <c r="U16" s="1560">
        <f>H16</f>
        <v>100</v>
      </c>
      <c r="V16" s="1559" t="s">
        <v>8</v>
      </c>
      <c r="W16" s="1560">
        <f>J16</f>
        <v>100</v>
      </c>
      <c r="X16" s="1553"/>
      <c r="Y16" s="3513"/>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9"/>
      <c r="L17" s="2125"/>
      <c r="M17" s="2117"/>
      <c r="N17" s="2117"/>
      <c r="O17" s="2124"/>
      <c r="P17" s="3513"/>
      <c r="Q17" s="1558"/>
      <c r="R17" s="1559"/>
      <c r="S17" s="1560"/>
      <c r="T17" s="1559"/>
      <c r="U17" s="1560"/>
      <c r="V17" s="1559"/>
      <c r="W17" s="1560"/>
      <c r="X17" s="1553"/>
      <c r="Y17" s="3513"/>
      <c r="Z17" s="1561"/>
      <c r="AA17" s="1562">
        <v>1</v>
      </c>
      <c r="AB17" s="1562">
        <v>1</v>
      </c>
      <c r="AC17" s="1562">
        <v>1</v>
      </c>
    </row>
    <row r="18" spans="1:29" ht="15">
      <c r="A18" s="515"/>
      <c r="B18" s="2553" t="s">
        <v>2555</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25"/>
      <c r="M18" s="2117"/>
      <c r="N18" s="2117"/>
      <c r="O18" s="2124"/>
      <c r="P18" s="3513"/>
      <c r="Q18" s="2541" t="str">
        <f>B18</f>
        <v>基础设施水平</v>
      </c>
      <c r="R18" s="1559" t="s">
        <v>8</v>
      </c>
      <c r="S18" s="1560">
        <f>F18</f>
        <v>100</v>
      </c>
      <c r="T18" s="1559" t="s">
        <v>8</v>
      </c>
      <c r="U18" s="1560">
        <f>H18</f>
        <v>100</v>
      </c>
      <c r="V18" s="1559" t="s">
        <v>8</v>
      </c>
      <c r="W18" s="1560">
        <f>J18</f>
        <v>100</v>
      </c>
      <c r="X18" s="2543"/>
      <c r="Y18" s="3513"/>
      <c r="Z18" s="2542"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4"/>
      <c r="L19" s="2125"/>
      <c r="M19" s="2117"/>
      <c r="N19" s="2117"/>
      <c r="O19" s="2124"/>
      <c r="P19" s="3513"/>
      <c r="Q19" s="2541"/>
      <c r="R19" s="1559"/>
      <c r="S19" s="1560"/>
      <c r="T19" s="1559"/>
      <c r="U19" s="1560"/>
      <c r="V19" s="1559"/>
      <c r="W19" s="1560"/>
      <c r="X19" s="2543"/>
      <c r="Y19" s="3513"/>
      <c r="Z19" s="2542"/>
      <c r="AA19" s="1562">
        <v>1</v>
      </c>
      <c r="AB19" s="1562">
        <v>1</v>
      </c>
      <c r="AC19" s="1562">
        <v>1</v>
      </c>
    </row>
    <row r="20" spans="1:29" ht="15">
      <c r="A20" s="515"/>
      <c r="B20" s="560" t="s">
        <v>804</v>
      </c>
      <c r="C20" s="872" t="str">
        <f>IF(B1="工业",估价对象房地状况!G7,估价对象房地状况!C9)</f>
        <v>一般</v>
      </c>
      <c r="D20" s="565">
        <v>100</v>
      </c>
      <c r="E20" s="562"/>
      <c r="F20" s="563">
        <f>SUMIF(69:69,E21,70:70)-SUMIF(69:69,C21,70:70)+100</f>
        <v>100</v>
      </c>
      <c r="G20" s="564"/>
      <c r="H20" s="559">
        <f>SUMIF(69:69,G21,70:70)-SUMIF(69:69,C21,70:70)+100</f>
        <v>100</v>
      </c>
      <c r="I20" s="562"/>
      <c r="J20" s="559">
        <f>SUMIF(69:69,I21,70:70)-SUMIF(69:69,C21,70:70)+100</f>
        <v>100</v>
      </c>
      <c r="K20" s="898"/>
      <c r="L20" s="2125"/>
      <c r="M20" s="2117"/>
      <c r="N20" s="2117"/>
      <c r="O20" s="2124"/>
      <c r="P20" s="3513"/>
      <c r="Q20" s="1558" t="str">
        <f>B20</f>
        <v>自然及人文环境</v>
      </c>
      <c r="R20" s="1559" t="s">
        <v>8</v>
      </c>
      <c r="S20" s="1560">
        <f>F20</f>
        <v>100</v>
      </c>
      <c r="T20" s="1559" t="s">
        <v>8</v>
      </c>
      <c r="U20" s="1560">
        <f>H20</f>
        <v>100</v>
      </c>
      <c r="V20" s="1559" t="s">
        <v>8</v>
      </c>
      <c r="W20" s="1560">
        <f>J20</f>
        <v>100</v>
      </c>
      <c r="X20" s="1553"/>
      <c r="Y20" s="3513"/>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9"/>
      <c r="L21" s="2125"/>
      <c r="M21" s="2117"/>
      <c r="N21" s="2117"/>
      <c r="O21" s="2124"/>
      <c r="P21" s="3513"/>
      <c r="Q21" s="1558"/>
      <c r="R21" s="1559"/>
      <c r="S21" s="1560"/>
      <c r="T21" s="1559"/>
      <c r="U21" s="1560"/>
      <c r="V21" s="1559"/>
      <c r="W21" s="1560"/>
      <c r="X21" s="1553"/>
      <c r="Y21" s="3513"/>
      <c r="Z21" s="1561"/>
      <c r="AA21" s="1562">
        <v>1</v>
      </c>
      <c r="AB21" s="1562">
        <v>1</v>
      </c>
      <c r="AC21" s="156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5"/>
      <c r="M22" s="2117"/>
      <c r="N22" s="2117"/>
      <c r="O22" s="2124"/>
      <c r="P22" s="3513"/>
      <c r="Q22" s="1558" t="str">
        <f>B22</f>
        <v>楼层</v>
      </c>
      <c r="R22" s="1559" t="s">
        <v>8</v>
      </c>
      <c r="S22" s="1560">
        <f>F22</f>
        <v>100</v>
      </c>
      <c r="T22" s="1559" t="s">
        <v>8</v>
      </c>
      <c r="U22" s="1560">
        <f>H22</f>
        <v>100</v>
      </c>
      <c r="V22" s="1559" t="s">
        <v>8</v>
      </c>
      <c r="W22" s="1560">
        <f>J22</f>
        <v>100</v>
      </c>
      <c r="X22" s="1553"/>
      <c r="Y22" s="3513"/>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5"/>
      <c r="M23" s="2117"/>
      <c r="N23" s="2117"/>
      <c r="O23" s="2124"/>
      <c r="P23" s="3513"/>
      <c r="Q23" s="1558">
        <f>B23</f>
        <v>111</v>
      </c>
      <c r="R23" s="1559" t="s">
        <v>8</v>
      </c>
      <c r="S23" s="1560">
        <f>F23</f>
        <v>100</v>
      </c>
      <c r="T23" s="1559" t="s">
        <v>8</v>
      </c>
      <c r="U23" s="1560">
        <f>H23</f>
        <v>100</v>
      </c>
      <c r="V23" s="1559" t="s">
        <v>8</v>
      </c>
      <c r="W23" s="1560">
        <f>J23</f>
        <v>100</v>
      </c>
      <c r="X23" s="1553"/>
      <c r="Y23" s="3513"/>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5"/>
      <c r="M24" s="2117"/>
      <c r="N24" s="2117"/>
      <c r="O24" s="2124"/>
      <c r="P24" s="3513"/>
      <c r="Q24" s="1558">
        <f t="shared" ref="Q24:Q36" si="11">B24</f>
        <v>111</v>
      </c>
      <c r="R24" s="1559" t="s">
        <v>8</v>
      </c>
      <c r="S24" s="1560">
        <f>F24</f>
        <v>100</v>
      </c>
      <c r="T24" s="1559" t="s">
        <v>8</v>
      </c>
      <c r="U24" s="1560">
        <f>H24</f>
        <v>100</v>
      </c>
      <c r="V24" s="1559" t="s">
        <v>8</v>
      </c>
      <c r="W24" s="1560">
        <f>J24</f>
        <v>100</v>
      </c>
      <c r="X24" s="1553"/>
      <c r="Y24" s="3513"/>
      <c r="Z24" s="1561">
        <f>Q24</f>
        <v>111</v>
      </c>
      <c r="AA24" s="1562">
        <f t="shared" si="3"/>
        <v>1</v>
      </c>
      <c r="AB24" s="1562">
        <f t="shared" si="4"/>
        <v>1</v>
      </c>
      <c r="AC24" s="1562">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18"/>
      <c r="M25" s="2119"/>
      <c r="N25" s="2119"/>
      <c r="O25" s="2120"/>
      <c r="P25" s="3513"/>
      <c r="Q25" s="1147">
        <f t="shared" si="11"/>
        <v>111</v>
      </c>
      <c r="R25" s="1554" t="s">
        <v>8</v>
      </c>
      <c r="S25" s="1555">
        <f>F25</f>
        <v>100</v>
      </c>
      <c r="T25" s="1554" t="s">
        <v>8</v>
      </c>
      <c r="U25" s="1555">
        <f>H25</f>
        <v>100</v>
      </c>
      <c r="V25" s="1554" t="s">
        <v>8</v>
      </c>
      <c r="W25" s="1555">
        <f>J25</f>
        <v>100</v>
      </c>
      <c r="X25" s="1556"/>
      <c r="Y25" s="3513"/>
      <c r="Z25" s="1146">
        <f>Q25</f>
        <v>111</v>
      </c>
      <c r="AA25" s="1562">
        <f>D25/F25</f>
        <v>1</v>
      </c>
      <c r="AB25" s="1562">
        <f>D25/H25</f>
        <v>1</v>
      </c>
      <c r="AC25" s="1562">
        <f>D25/J25</f>
        <v>1</v>
      </c>
    </row>
    <row r="26" spans="1:29" ht="15">
      <c r="A26" s="2860" t="s">
        <v>2751</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5"/>
      <c r="M26" s="2117"/>
      <c r="N26" s="2117"/>
      <c r="O26" s="2124"/>
      <c r="P26" s="3514" t="s">
        <v>550</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515" t="s">
        <v>550</v>
      </c>
      <c r="Z26" s="1561" t="str">
        <f t="shared" ref="Z26:Z36" si="15">Q26</f>
        <v>配套类型</v>
      </c>
      <c r="AA26" s="1562">
        <f t="shared" si="3"/>
        <v>1</v>
      </c>
      <c r="AB26" s="1562">
        <f t="shared" si="4"/>
        <v>1</v>
      </c>
      <c r="AC26" s="1562">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3"/>
      <c r="M27" s="2154"/>
      <c r="N27" s="2154"/>
      <c r="O27" s="2126"/>
      <c r="P27" s="3515"/>
      <c r="Q27" s="1590" t="str">
        <f t="shared" si="11"/>
        <v>项目停车位配比</v>
      </c>
      <c r="R27" s="1563" t="s">
        <v>8</v>
      </c>
      <c r="S27" s="1564">
        <f t="shared" si="12"/>
        <v>100</v>
      </c>
      <c r="T27" s="1563" t="s">
        <v>8</v>
      </c>
      <c r="U27" s="1564">
        <f t="shared" si="13"/>
        <v>100</v>
      </c>
      <c r="V27" s="1563" t="s">
        <v>8</v>
      </c>
      <c r="W27" s="1564">
        <f t="shared" si="14"/>
        <v>100</v>
      </c>
      <c r="X27" s="1565"/>
      <c r="Y27" s="3515"/>
      <c r="Z27" s="1566" t="str">
        <f t="shared" si="15"/>
        <v>项目停车位配比</v>
      </c>
      <c r="AA27" s="1562">
        <f t="shared" si="3"/>
        <v>1</v>
      </c>
      <c r="AB27" s="1562">
        <f t="shared" si="4"/>
        <v>1</v>
      </c>
      <c r="AC27" s="1562">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5"/>
      <c r="M28" s="2117"/>
      <c r="N28" s="2117"/>
      <c r="O28" s="2124"/>
      <c r="P28" s="3515"/>
      <c r="Q28" s="1558" t="str">
        <f t="shared" si="11"/>
        <v>公共部分装修</v>
      </c>
      <c r="R28" s="1559" t="s">
        <v>8</v>
      </c>
      <c r="S28" s="1560">
        <f t="shared" si="12"/>
        <v>100</v>
      </c>
      <c r="T28" s="1559" t="s">
        <v>8</v>
      </c>
      <c r="U28" s="1560">
        <f t="shared" si="13"/>
        <v>100</v>
      </c>
      <c r="V28" s="1559" t="s">
        <v>8</v>
      </c>
      <c r="W28" s="1560">
        <f t="shared" si="14"/>
        <v>100</v>
      </c>
      <c r="X28" s="1553"/>
      <c r="Y28" s="3515"/>
      <c r="Z28" s="1561" t="str">
        <f t="shared" si="15"/>
        <v>公共部分装修</v>
      </c>
      <c r="AA28" s="1562">
        <f t="shared" si="3"/>
        <v>1</v>
      </c>
      <c r="AB28" s="1562">
        <f t="shared" si="4"/>
        <v>1</v>
      </c>
      <c r="AC28" s="1562">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5"/>
      <c r="M29" s="2117"/>
      <c r="N29" s="2117"/>
      <c r="O29" s="2124"/>
      <c r="P29" s="3515"/>
      <c r="Q29" s="1558" t="str">
        <f t="shared" si="11"/>
        <v>成新率</v>
      </c>
      <c r="R29" s="1559" t="s">
        <v>8</v>
      </c>
      <c r="S29" s="1560" t="e">
        <f t="shared" si="12"/>
        <v>#N/A</v>
      </c>
      <c r="T29" s="1559" t="s">
        <v>8</v>
      </c>
      <c r="U29" s="1560" t="e">
        <f t="shared" si="13"/>
        <v>#N/A</v>
      </c>
      <c r="V29" s="1559" t="s">
        <v>8</v>
      </c>
      <c r="W29" s="1560" t="e">
        <f t="shared" si="14"/>
        <v>#N/A</v>
      </c>
      <c r="X29" s="1553"/>
      <c r="Y29" s="3515"/>
      <c r="Z29" s="1561" t="str">
        <f t="shared" si="15"/>
        <v>成新率</v>
      </c>
      <c r="AA29" s="1562" t="e">
        <f t="shared" si="3"/>
        <v>#N/A</v>
      </c>
      <c r="AB29" s="1562" t="e">
        <f t="shared" si="4"/>
        <v>#N/A</v>
      </c>
      <c r="AC29" s="1562"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5"/>
      <c r="M30" s="2117"/>
      <c r="N30" s="2117"/>
      <c r="O30" s="2124"/>
      <c r="P30" s="3515"/>
      <c r="Q30" s="1558" t="str">
        <f t="shared" si="11"/>
        <v>物业等级</v>
      </c>
      <c r="R30" s="1559" t="s">
        <v>8</v>
      </c>
      <c r="S30" s="1560">
        <f t="shared" si="12"/>
        <v>100</v>
      </c>
      <c r="T30" s="1559" t="s">
        <v>8</v>
      </c>
      <c r="U30" s="1560">
        <f t="shared" si="13"/>
        <v>100</v>
      </c>
      <c r="V30" s="1559" t="s">
        <v>8</v>
      </c>
      <c r="W30" s="1560">
        <f t="shared" si="14"/>
        <v>100</v>
      </c>
      <c r="X30" s="1553"/>
      <c r="Y30" s="3515"/>
      <c r="Z30" s="1561" t="str">
        <f t="shared" si="15"/>
        <v>物业等级</v>
      </c>
      <c r="AA30" s="1562">
        <f t="shared" si="3"/>
        <v>1</v>
      </c>
      <c r="AB30" s="1562">
        <f t="shared" si="4"/>
        <v>1</v>
      </c>
      <c r="AC30" s="1562">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18"/>
      <c r="M31" s="2119"/>
      <c r="N31" s="2119"/>
      <c r="O31" s="2120"/>
      <c r="P31" s="3515"/>
      <c r="Q31" s="1147" t="str">
        <f t="shared" si="11"/>
        <v>停车位面积</v>
      </c>
      <c r="R31" s="1554" t="s">
        <v>8</v>
      </c>
      <c r="S31" s="1555" t="e">
        <f t="shared" si="12"/>
        <v>#N/A</v>
      </c>
      <c r="T31" s="1554" t="s">
        <v>8</v>
      </c>
      <c r="U31" s="1555" t="e">
        <f t="shared" si="13"/>
        <v>#N/A</v>
      </c>
      <c r="V31" s="1554" t="s">
        <v>8</v>
      </c>
      <c r="W31" s="1555" t="e">
        <f t="shared" si="14"/>
        <v>#N/A</v>
      </c>
      <c r="X31" s="1556"/>
      <c r="Y31" s="3515"/>
      <c r="Z31" s="1146" t="str">
        <f t="shared" si="15"/>
        <v>停车位面积</v>
      </c>
      <c r="AA31" s="1557" t="e">
        <f t="shared" si="3"/>
        <v>#N/A</v>
      </c>
      <c r="AB31" s="1557" t="e">
        <f t="shared" si="4"/>
        <v>#N/A</v>
      </c>
      <c r="AC31" s="1557"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5"/>
      <c r="M32" s="2117"/>
      <c r="N32" s="2117"/>
      <c r="O32" s="2124"/>
      <c r="P32" s="3515" t="s">
        <v>550</v>
      </c>
      <c r="Q32" s="1558" t="str">
        <f t="shared" si="11"/>
        <v>车位类型</v>
      </c>
      <c r="R32" s="1559" t="s">
        <v>8</v>
      </c>
      <c r="S32" s="1560">
        <f t="shared" si="12"/>
        <v>100</v>
      </c>
      <c r="T32" s="1559" t="s">
        <v>8</v>
      </c>
      <c r="U32" s="1560">
        <f t="shared" si="13"/>
        <v>100</v>
      </c>
      <c r="V32" s="1559" t="s">
        <v>8</v>
      </c>
      <c r="W32" s="1560">
        <f t="shared" si="14"/>
        <v>100</v>
      </c>
      <c r="X32" s="1553"/>
      <c r="Y32" s="3515" t="s">
        <v>550</v>
      </c>
      <c r="Z32" s="1561" t="str">
        <f t="shared" si="15"/>
        <v>车位类型</v>
      </c>
      <c r="AA32" s="1562">
        <f t="shared" si="3"/>
        <v>1</v>
      </c>
      <c r="AB32" s="1562">
        <f t="shared" si="4"/>
        <v>1</v>
      </c>
      <c r="AC32" s="1562">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5"/>
      <c r="M33" s="2117"/>
      <c r="N33" s="2117"/>
      <c r="O33" s="2124"/>
      <c r="P33" s="3515"/>
      <c r="Q33" s="1558" t="str">
        <f t="shared" si="11"/>
        <v>是否直接入户</v>
      </c>
      <c r="R33" s="1559" t="s">
        <v>8</v>
      </c>
      <c r="S33" s="1560">
        <f t="shared" si="12"/>
        <v>100</v>
      </c>
      <c r="T33" s="1559" t="s">
        <v>8</v>
      </c>
      <c r="U33" s="1560">
        <f t="shared" si="13"/>
        <v>100</v>
      </c>
      <c r="V33" s="1559" t="s">
        <v>8</v>
      </c>
      <c r="W33" s="1560">
        <f t="shared" si="14"/>
        <v>100</v>
      </c>
      <c r="X33" s="1553"/>
      <c r="Y33" s="3515"/>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5"/>
      <c r="M34" s="2117"/>
      <c r="N34" s="2117"/>
      <c r="O34" s="2124"/>
      <c r="P34" s="3515"/>
      <c r="Q34" s="1558">
        <f t="shared" si="11"/>
        <v>111</v>
      </c>
      <c r="R34" s="1559" t="s">
        <v>8</v>
      </c>
      <c r="S34" s="1560">
        <f t="shared" si="12"/>
        <v>100</v>
      </c>
      <c r="T34" s="1559" t="s">
        <v>8</v>
      </c>
      <c r="U34" s="1560">
        <f t="shared" si="13"/>
        <v>100</v>
      </c>
      <c r="V34" s="1559" t="s">
        <v>8</v>
      </c>
      <c r="W34" s="1560">
        <f t="shared" si="14"/>
        <v>100</v>
      </c>
      <c r="X34" s="1553"/>
      <c r="Y34" s="3515"/>
      <c r="Z34" s="1561">
        <f t="shared" si="15"/>
        <v>111</v>
      </c>
      <c r="AA34" s="1562">
        <f t="shared" si="3"/>
        <v>1</v>
      </c>
      <c r="AB34" s="1562">
        <f t="shared" si="4"/>
        <v>1</v>
      </c>
      <c r="AC34" s="1562">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3"/>
      <c r="M35" s="2154"/>
      <c r="N35" s="2154"/>
      <c r="O35" s="2126"/>
      <c r="P35" s="3515"/>
      <c r="Q35" s="1590">
        <f t="shared" si="11"/>
        <v>111</v>
      </c>
      <c r="R35" s="1563" t="s">
        <v>8</v>
      </c>
      <c r="S35" s="1564">
        <f t="shared" si="12"/>
        <v>100</v>
      </c>
      <c r="T35" s="1563" t="s">
        <v>8</v>
      </c>
      <c r="U35" s="1564">
        <f t="shared" si="13"/>
        <v>100</v>
      </c>
      <c r="V35" s="1563" t="s">
        <v>8</v>
      </c>
      <c r="W35" s="1564">
        <f t="shared" si="14"/>
        <v>100</v>
      </c>
      <c r="X35" s="1565"/>
      <c r="Y35" s="3515"/>
      <c r="Z35" s="1566">
        <f t="shared" si="15"/>
        <v>111</v>
      </c>
      <c r="AA35" s="1562">
        <f t="shared" si="3"/>
        <v>1</v>
      </c>
      <c r="AB35" s="1562">
        <f t="shared" si="4"/>
        <v>1</v>
      </c>
      <c r="AC35" s="1562">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5"/>
      <c r="M36" s="2117"/>
      <c r="N36" s="2117"/>
      <c r="O36" s="2124"/>
      <c r="P36" s="3515"/>
      <c r="Q36" s="1558">
        <f t="shared" si="11"/>
        <v>111</v>
      </c>
      <c r="R36" s="1559" t="s">
        <v>8</v>
      </c>
      <c r="S36" s="1560">
        <f t="shared" si="12"/>
        <v>100</v>
      </c>
      <c r="T36" s="1559" t="s">
        <v>8</v>
      </c>
      <c r="U36" s="1560">
        <f t="shared" si="13"/>
        <v>100</v>
      </c>
      <c r="V36" s="1559" t="s">
        <v>8</v>
      </c>
      <c r="W36" s="1560">
        <f t="shared" si="14"/>
        <v>100</v>
      </c>
      <c r="X36" s="1553"/>
      <c r="Y36" s="3515"/>
      <c r="Z36" s="1561">
        <f t="shared" si="15"/>
        <v>111</v>
      </c>
      <c r="AA36" s="1562">
        <f t="shared" si="3"/>
        <v>1</v>
      </c>
      <c r="AB36" s="1562">
        <f t="shared" si="4"/>
        <v>1</v>
      </c>
      <c r="AC36" s="1562">
        <f t="shared" si="5"/>
        <v>1</v>
      </c>
    </row>
    <row r="37" spans="1:29" ht="14.4">
      <c r="A37" s="1829" t="s">
        <v>2074</v>
      </c>
      <c r="B37" s="1830" t="s">
        <v>2075</v>
      </c>
      <c r="C37" s="2589" t="s">
        <v>1</v>
      </c>
      <c r="D37" s="2590"/>
      <c r="E37" s="2591"/>
      <c r="F37" s="2592"/>
      <c r="G37" s="2593"/>
      <c r="H37" s="2594"/>
      <c r="I37" s="2591"/>
      <c r="J37" s="2594"/>
      <c r="K37" s="1596"/>
      <c r="L37" s="2127"/>
      <c r="M37" s="2128"/>
      <c r="N37" s="2117"/>
      <c r="O37" s="2128"/>
      <c r="P37" s="3510" t="str">
        <f>A37</f>
        <v>成交单价</v>
      </c>
      <c r="Q37" s="3510"/>
      <c r="R37" s="3593">
        <f>E37</f>
        <v>0</v>
      </c>
      <c r="S37" s="3593"/>
      <c r="T37" s="3593">
        <f>G37</f>
        <v>0</v>
      </c>
      <c r="U37" s="3593"/>
      <c r="V37" s="3593">
        <f>I37</f>
        <v>0</v>
      </c>
      <c r="W37" s="3593"/>
      <c r="X37" s="1545"/>
      <c r="Y37" s="1567"/>
      <c r="Z37" s="1545"/>
      <c r="AA37" s="1545"/>
      <c r="AB37" s="1545"/>
      <c r="AC37" s="1545"/>
    </row>
    <row r="38" spans="1:29" ht="15" thickBot="1">
      <c r="A38" s="615" t="s">
        <v>2756</v>
      </c>
      <c r="B38" s="888"/>
      <c r="C38" s="2595" t="e">
        <f>R39</f>
        <v>#DIV/0!</v>
      </c>
      <c r="D38" s="2596"/>
      <c r="E38" s="2597" t="e">
        <f>R38</f>
        <v>#DIV/0!</v>
      </c>
      <c r="F38" s="2597"/>
      <c r="G38" s="2595" t="e">
        <f>T38</f>
        <v>#DIV/0!</v>
      </c>
      <c r="H38" s="2596"/>
      <c r="I38" s="2597" t="e">
        <f>V38</f>
        <v>#DIV/0!</v>
      </c>
      <c r="J38" s="2596"/>
      <c r="K38" s="1597"/>
      <c r="L38" s="2127"/>
      <c r="M38" s="2128"/>
      <c r="N38" s="2128"/>
      <c r="O38" s="2128"/>
      <c r="P38" s="3510" t="str">
        <f>A38</f>
        <v>比较价格（元/平方米）</v>
      </c>
      <c r="Q38" s="3510"/>
      <c r="R38" s="3593" t="e">
        <f>IF(F1="售价",ROUND(PRODUCT(R37,AA7:AA36),0),ROUND(PRODUCT(R37,AA7:AA36),1))</f>
        <v>#DIV/0!</v>
      </c>
      <c r="S38" s="3593"/>
      <c r="T38" s="3593" t="e">
        <f>IF(F1="售价",ROUND(PRODUCT(T37,AB7:AB36),0),ROUND(PRODUCT(T37,AB7:AB36),1))</f>
        <v>#DIV/0!</v>
      </c>
      <c r="U38" s="3593"/>
      <c r="V38" s="3593" t="e">
        <f>IF(F1="售价",ROUND(PRODUCT(V37,AC7:AC36),0),ROUND(PRODUCT(V37,AC7:AC36),1))</f>
        <v>#DIV/0!</v>
      </c>
      <c r="W38" s="3593"/>
      <c r="X38" s="1545"/>
      <c r="Y38" s="1545"/>
      <c r="Z38" s="1545"/>
      <c r="AA38" s="1545"/>
      <c r="AB38" s="1545"/>
      <c r="AC38" s="1545"/>
    </row>
    <row r="39" spans="1:29" ht="15" thickBot="1">
      <c r="A39" s="621" t="s">
        <v>2929</v>
      </c>
      <c r="B39" s="622"/>
      <c r="C39" s="2598" t="e">
        <f>R39</f>
        <v>#DIV/0!</v>
      </c>
      <c r="D39" s="2598"/>
      <c r="E39" s="2598"/>
      <c r="F39" s="2598"/>
      <c r="G39" s="2598"/>
      <c r="H39" s="2598"/>
      <c r="I39" s="2598"/>
      <c r="J39" s="2598"/>
      <c r="K39" s="1598"/>
      <c r="L39" s="2127"/>
      <c r="M39" s="2128"/>
      <c r="N39" s="2128"/>
      <c r="O39" s="2128"/>
      <c r="P39" s="3531" t="str">
        <f>A39</f>
        <v>估价对象XX用房的比较价格（楼面单价，元/平方米）</v>
      </c>
      <c r="Q39" s="3532"/>
      <c r="R39" s="3592" t="e">
        <f>IF(F1="售价",ROUND(AVERAGE(R38:V38),0),ROUND(AVERAGE(R38:V38),1))</f>
        <v>#DIV/0!</v>
      </c>
      <c r="S39" s="3592"/>
      <c r="T39" s="3592"/>
      <c r="U39" s="3592"/>
      <c r="V39" s="3592"/>
      <c r="W39" s="3592"/>
      <c r="X39" s="1545"/>
      <c r="Y39" s="1545"/>
      <c r="Z39" s="1545"/>
      <c r="AA39" s="1545"/>
      <c r="AB39" s="1545"/>
      <c r="AC39" s="1545"/>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41" customFormat="1" ht="13.5" customHeight="1">
      <c r="A44" s="2129"/>
      <c r="B44" s="2129"/>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41"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2.2" thickBot="1">
      <c r="A47" s="1570" t="s">
        <v>574</v>
      </c>
      <c r="B47" s="1545"/>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3" customFormat="1" ht="14.4">
      <c r="A48" s="645" t="s">
        <v>529</v>
      </c>
      <c r="B48" s="646"/>
      <c r="C48" s="2755" t="str">
        <f>YEAR(C7)&amp;"-"&amp;MONTH(C7)</f>
        <v>2020-2</v>
      </c>
      <c r="D48" s="2757">
        <f>EDATE(C48,-1)</f>
        <v>43831</v>
      </c>
      <c r="E48" s="2757">
        <f t="shared" ref="E48:O48" si="16">EDATE(D48,-1)</f>
        <v>43800</v>
      </c>
      <c r="F48" s="2757">
        <f t="shared" si="16"/>
        <v>43770</v>
      </c>
      <c r="G48" s="2757">
        <f t="shared" si="16"/>
        <v>43739</v>
      </c>
      <c r="H48" s="2757">
        <f t="shared" si="16"/>
        <v>43709</v>
      </c>
      <c r="I48" s="2757">
        <f t="shared" si="16"/>
        <v>43678</v>
      </c>
      <c r="J48" s="2757">
        <f t="shared" si="16"/>
        <v>43647</v>
      </c>
      <c r="K48" s="2757">
        <f t="shared" si="16"/>
        <v>43617</v>
      </c>
      <c r="L48" s="2757">
        <f t="shared" si="16"/>
        <v>43586</v>
      </c>
      <c r="M48" s="2757">
        <f t="shared" si="16"/>
        <v>43556</v>
      </c>
      <c r="N48" s="2757">
        <f t="shared" si="16"/>
        <v>43525</v>
      </c>
      <c r="O48" s="2757">
        <f t="shared" si="16"/>
        <v>43497</v>
      </c>
      <c r="P48" s="2143"/>
      <c r="Q48" s="2144"/>
      <c r="R48" s="2144"/>
      <c r="S48" s="2144"/>
      <c r="T48" s="2144"/>
      <c r="U48" s="2144"/>
      <c r="V48" s="2144"/>
      <c r="W48" s="2144"/>
      <c r="X48" s="2144"/>
      <c r="Y48" s="2144"/>
      <c r="Z48" s="2144"/>
      <c r="AA48" s="2144"/>
      <c r="AB48" s="2144"/>
      <c r="AC48" s="2144"/>
    </row>
    <row r="49" spans="1:29" s="1216" customFormat="1">
      <c r="A49" s="647"/>
      <c r="B49" s="648"/>
      <c r="C49" s="2756">
        <v>100</v>
      </c>
      <c r="D49" s="650"/>
      <c r="E49" s="650"/>
      <c r="F49" s="650"/>
      <c r="G49" s="650"/>
      <c r="H49" s="650"/>
      <c r="I49" s="650"/>
      <c r="J49" s="650"/>
      <c r="K49" s="650"/>
      <c r="L49" s="650"/>
      <c r="M49" s="651"/>
      <c r="N49" s="650"/>
      <c r="O49" s="652"/>
      <c r="P49" s="2141"/>
      <c r="Q49" s="1976"/>
      <c r="R49" s="1976"/>
      <c r="S49" s="1976"/>
      <c r="T49" s="1976"/>
      <c r="U49" s="1976"/>
      <c r="V49" s="1976"/>
      <c r="W49" s="1976"/>
      <c r="X49" s="1976"/>
      <c r="Y49" s="1976"/>
      <c r="Z49" s="1976"/>
      <c r="AA49" s="1976"/>
      <c r="AB49" s="1976"/>
      <c r="AC49" s="1976"/>
    </row>
    <row r="50" spans="1:29" s="1216" customFormat="1" ht="15" thickBot="1">
      <c r="A50" s="653" t="s">
        <v>575</v>
      </c>
      <c r="B50" s="654"/>
      <c r="C50" s="655"/>
      <c r="D50" s="656"/>
      <c r="E50" s="656"/>
      <c r="F50" s="656"/>
      <c r="G50" s="656"/>
      <c r="H50" s="656"/>
      <c r="I50" s="656"/>
      <c r="J50" s="656"/>
      <c r="K50" s="656"/>
      <c r="L50" s="656"/>
      <c r="M50" s="657"/>
      <c r="N50" s="656"/>
      <c r="O50" s="658"/>
      <c r="P50" s="2141"/>
      <c r="Q50" s="2141"/>
      <c r="R50" s="1976"/>
      <c r="S50" s="1976"/>
      <c r="T50" s="1976"/>
      <c r="U50" s="1976"/>
      <c r="V50" s="1976"/>
      <c r="W50" s="1976"/>
      <c r="X50" s="1976"/>
      <c r="Y50" s="1976"/>
      <c r="Z50" s="1976"/>
      <c r="AA50" s="1976"/>
      <c r="AB50" s="1976"/>
      <c r="AC50" s="1976"/>
    </row>
    <row r="51" spans="1:29" s="1216" customFormat="1" ht="14.4">
      <c r="A51" s="659" t="s">
        <v>531</v>
      </c>
      <c r="B51" s="648"/>
      <c r="C51" s="660" t="s">
        <v>576</v>
      </c>
      <c r="D51" s="661"/>
      <c r="E51" s="661"/>
      <c r="F51" s="661"/>
      <c r="G51" s="661"/>
      <c r="H51" s="661"/>
      <c r="I51" s="661"/>
      <c r="J51" s="661"/>
      <c r="K51" s="661"/>
      <c r="L51" s="662"/>
      <c r="M51" s="663"/>
      <c r="N51" s="2145"/>
      <c r="O51" s="2145"/>
      <c r="P51" s="2146"/>
      <c r="Q51" s="2141"/>
      <c r="R51" s="1976"/>
      <c r="S51" s="1976"/>
      <c r="T51" s="1976"/>
      <c r="U51" s="1976"/>
      <c r="V51" s="1976"/>
      <c r="W51" s="1976"/>
      <c r="X51" s="1976"/>
      <c r="Y51" s="1976"/>
      <c r="Z51" s="1976"/>
      <c r="AA51" s="1976"/>
      <c r="AB51" s="1976"/>
      <c r="AC51" s="1976"/>
    </row>
    <row r="52" spans="1:29" s="1216" customFormat="1" ht="14.4" thickBot="1">
      <c r="A52" s="659"/>
      <c r="B52" s="648"/>
      <c r="C52" s="649">
        <v>100</v>
      </c>
      <c r="D52" s="650"/>
      <c r="E52" s="650"/>
      <c r="F52" s="650"/>
      <c r="G52" s="650"/>
      <c r="H52" s="650"/>
      <c r="I52" s="650"/>
      <c r="J52" s="650"/>
      <c r="K52" s="650"/>
      <c r="L52" s="650"/>
      <c r="M52" s="652"/>
      <c r="N52" s="2145"/>
      <c r="O52" s="2145"/>
      <c r="P52" s="2141"/>
      <c r="Q52" s="2141"/>
      <c r="R52" s="1976"/>
      <c r="S52" s="1976"/>
      <c r="T52" s="1976"/>
      <c r="U52" s="1976"/>
      <c r="V52" s="1976"/>
      <c r="W52" s="1976"/>
      <c r="X52" s="1976"/>
      <c r="Y52" s="1976"/>
      <c r="Z52" s="1976"/>
      <c r="AA52" s="1976"/>
      <c r="AB52" s="1976"/>
      <c r="AC52" s="1976"/>
    </row>
    <row r="53" spans="1:29" ht="14.4">
      <c r="A53" s="664" t="s">
        <v>577</v>
      </c>
      <c r="B53" s="665" t="s">
        <v>534</v>
      </c>
      <c r="C53" s="704">
        <f>C9</f>
        <v>0</v>
      </c>
      <c r="D53" s="598"/>
      <c r="E53" s="598"/>
      <c r="F53" s="598"/>
      <c r="G53" s="598"/>
      <c r="H53" s="598"/>
      <c r="I53" s="598"/>
      <c r="J53" s="598"/>
      <c r="K53" s="666"/>
      <c r="L53" s="667"/>
      <c r="M53" s="668"/>
      <c r="N53" s="2147"/>
      <c r="O53" s="2147"/>
      <c r="P53" s="2148"/>
      <c r="Q53" s="2141"/>
      <c r="R53" s="2128"/>
      <c r="S53" s="2128"/>
      <c r="T53" s="2128"/>
      <c r="U53" s="2128"/>
      <c r="V53" s="2128"/>
      <c r="W53" s="2128"/>
      <c r="X53" s="2128"/>
      <c r="Y53" s="2128"/>
      <c r="Z53" s="2128"/>
      <c r="AA53" s="2128"/>
      <c r="AB53" s="2128"/>
      <c r="AC53" s="2128"/>
    </row>
    <row r="54" spans="1:29" ht="14.4" thickBot="1">
      <c r="A54" s="669"/>
      <c r="B54" s="670"/>
      <c r="C54" s="671"/>
      <c r="D54" s="671"/>
      <c r="E54" s="671"/>
      <c r="F54" s="671"/>
      <c r="G54" s="671"/>
      <c r="H54" s="671"/>
      <c r="I54" s="671"/>
      <c r="J54" s="671"/>
      <c r="K54" s="671"/>
      <c r="L54" s="671"/>
      <c r="M54" s="672"/>
      <c r="N54" s="2149"/>
      <c r="O54" s="2149"/>
      <c r="P54" s="2148"/>
      <c r="Q54" s="2141"/>
      <c r="R54" s="2128"/>
      <c r="S54" s="2128"/>
      <c r="T54" s="2128"/>
      <c r="U54" s="2128"/>
      <c r="V54" s="2128"/>
      <c r="W54" s="2128"/>
      <c r="X54" s="2128"/>
      <c r="Y54" s="2128"/>
      <c r="Z54" s="2128"/>
      <c r="AA54" s="2128"/>
      <c r="AB54" s="2128"/>
      <c r="AC54" s="2128"/>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47"/>
      <c r="O55" s="2147"/>
      <c r="P55" s="2148"/>
      <c r="Q55" s="2141"/>
      <c r="R55" s="2128"/>
      <c r="S55" s="2128"/>
      <c r="T55" s="2128"/>
      <c r="U55" s="2128"/>
      <c r="V55" s="2128"/>
      <c r="W55" s="2128"/>
      <c r="X55" s="2128"/>
      <c r="Y55" s="2128"/>
      <c r="Z55" s="2128"/>
      <c r="AA55" s="2128"/>
      <c r="AB55" s="2128"/>
      <c r="AC55" s="2128"/>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49"/>
      <c r="O56" s="2149"/>
      <c r="P56" s="2148"/>
      <c r="Q56" s="2141"/>
      <c r="R56" s="2128"/>
      <c r="S56" s="2128"/>
      <c r="T56" s="2128"/>
      <c r="U56" s="2128"/>
      <c r="V56" s="2128"/>
      <c r="W56" s="2128"/>
      <c r="X56" s="2128"/>
      <c r="Y56" s="2128"/>
      <c r="Z56" s="2128"/>
      <c r="AA56" s="2128"/>
      <c r="AB56" s="2128"/>
      <c r="AC56" s="2128"/>
    </row>
    <row r="57" spans="1:29" ht="14.4" thickTop="1">
      <c r="A57" s="669"/>
      <c r="B57" s="935">
        <f>B11</f>
        <v>111</v>
      </c>
      <c r="C57" s="541"/>
      <c r="D57" s="541"/>
      <c r="E57" s="541"/>
      <c r="F57" s="541"/>
      <c r="G57" s="541"/>
      <c r="H57" s="541"/>
      <c r="I57" s="541"/>
      <c r="J57" s="541"/>
      <c r="K57" s="684"/>
      <c r="L57" s="685"/>
      <c r="M57" s="686"/>
      <c r="N57" s="2147"/>
      <c r="O57" s="2147"/>
      <c r="P57" s="2148"/>
      <c r="Q57" s="2141"/>
      <c r="R57" s="2128"/>
      <c r="S57" s="2128"/>
      <c r="T57" s="2128"/>
      <c r="U57" s="2128"/>
      <c r="V57" s="2128"/>
      <c r="W57" s="2128"/>
      <c r="X57" s="2128"/>
      <c r="Y57" s="2128"/>
      <c r="Z57" s="2128"/>
      <c r="AA57" s="2128"/>
      <c r="AB57" s="2128"/>
      <c r="AC57" s="2128"/>
    </row>
    <row r="58" spans="1:29" ht="14.4" thickBot="1">
      <c r="A58" s="669"/>
      <c r="B58" s="670"/>
      <c r="C58" s="692"/>
      <c r="D58" s="671"/>
      <c r="E58" s="671"/>
      <c r="F58" s="671"/>
      <c r="G58" s="671"/>
      <c r="H58" s="671"/>
      <c r="I58" s="671"/>
      <c r="J58" s="671"/>
      <c r="K58" s="671"/>
      <c r="L58" s="671"/>
      <c r="M58" s="672"/>
      <c r="N58" s="2149"/>
      <c r="O58" s="2149"/>
      <c r="P58" s="2148"/>
      <c r="Q58" s="2141"/>
      <c r="R58" s="2128"/>
      <c r="S58" s="2128"/>
      <c r="T58" s="2128"/>
      <c r="U58" s="2128"/>
      <c r="V58" s="2128"/>
      <c r="W58" s="2128"/>
      <c r="X58" s="2128"/>
      <c r="Y58" s="2128"/>
      <c r="Z58" s="2128"/>
      <c r="AA58" s="2128"/>
      <c r="AB58" s="2128"/>
      <c r="AC58" s="2128"/>
    </row>
    <row r="59" spans="1:29" s="1335" customFormat="1" ht="14.4" thickTop="1">
      <c r="A59" s="687"/>
      <c r="B59" s="673">
        <f>B12</f>
        <v>111</v>
      </c>
      <c r="C59" s="541"/>
      <c r="D59" s="541"/>
      <c r="E59" s="541"/>
      <c r="F59" s="541"/>
      <c r="G59" s="688"/>
      <c r="H59" s="689"/>
      <c r="I59" s="689"/>
      <c r="J59" s="689"/>
      <c r="K59" s="689"/>
      <c r="L59" s="690"/>
      <c r="M59" s="691"/>
      <c r="N59" s="2150"/>
      <c r="O59" s="2150"/>
      <c r="P59" s="2151"/>
      <c r="Q59" s="2152"/>
      <c r="R59" s="2153"/>
      <c r="S59" s="2153"/>
      <c r="T59" s="2153"/>
      <c r="U59" s="2153"/>
      <c r="V59" s="2153"/>
      <c r="W59" s="2153"/>
      <c r="X59" s="2153"/>
      <c r="Y59" s="2153"/>
      <c r="Z59" s="2153"/>
      <c r="AA59" s="2153"/>
      <c r="AB59" s="2153"/>
      <c r="AC59" s="2153"/>
    </row>
    <row r="60" spans="1:29" s="1335" customFormat="1" ht="14.4" thickBot="1">
      <c r="A60" s="687"/>
      <c r="B60" s="678"/>
      <c r="C60" s="692"/>
      <c r="D60" s="671"/>
      <c r="E60" s="671"/>
      <c r="F60" s="671"/>
      <c r="G60" s="671"/>
      <c r="H60" s="671"/>
      <c r="I60" s="671"/>
      <c r="J60" s="671"/>
      <c r="K60" s="671"/>
      <c r="L60" s="671"/>
      <c r="M60" s="672"/>
      <c r="N60" s="2149"/>
      <c r="O60" s="2149"/>
      <c r="P60" s="2151"/>
      <c r="Q60" s="2152"/>
      <c r="R60" s="2153"/>
      <c r="S60" s="2153"/>
      <c r="T60" s="2153"/>
      <c r="U60" s="2153"/>
      <c r="V60" s="2153"/>
      <c r="W60" s="2153"/>
      <c r="X60" s="2153"/>
      <c r="Y60" s="2153"/>
      <c r="Z60" s="2153"/>
      <c r="AA60" s="2153"/>
      <c r="AB60" s="2153"/>
      <c r="AC60" s="2153"/>
    </row>
    <row r="61" spans="1:29" s="1335" customFormat="1" ht="14.4" thickTop="1">
      <c r="A61" s="687"/>
      <c r="B61" s="673">
        <f>B13</f>
        <v>111</v>
      </c>
      <c r="C61" s="688"/>
      <c r="D61" s="688"/>
      <c r="E61" s="688"/>
      <c r="F61" s="688"/>
      <c r="G61" s="688"/>
      <c r="H61" s="689"/>
      <c r="I61" s="689"/>
      <c r="J61" s="689"/>
      <c r="K61" s="689"/>
      <c r="L61" s="690"/>
      <c r="M61" s="691"/>
      <c r="N61" s="2150"/>
      <c r="O61" s="2150"/>
      <c r="P61" s="2154"/>
      <c r="Q61" s="2155"/>
      <c r="R61" s="2153"/>
      <c r="S61" s="2153"/>
      <c r="T61" s="2153"/>
      <c r="U61" s="2153"/>
      <c r="V61" s="2153"/>
      <c r="W61" s="2153"/>
      <c r="X61" s="2153"/>
      <c r="Y61" s="2153"/>
      <c r="Z61" s="2153"/>
      <c r="AA61" s="2153"/>
      <c r="AB61" s="2153"/>
      <c r="AC61" s="2153"/>
    </row>
    <row r="62" spans="1:29" s="1335" customFormat="1" ht="14.4" thickBot="1">
      <c r="A62" s="687"/>
      <c r="B62" s="678"/>
      <c r="C62" s="692"/>
      <c r="D62" s="692"/>
      <c r="E62" s="692"/>
      <c r="F62" s="692"/>
      <c r="G62" s="692"/>
      <c r="H62" s="693"/>
      <c r="I62" s="693"/>
      <c r="J62" s="693"/>
      <c r="K62" s="693"/>
      <c r="L62" s="693"/>
      <c r="M62" s="694"/>
      <c r="N62" s="2150"/>
      <c r="O62" s="2150"/>
      <c r="P62" s="2151"/>
      <c r="Q62" s="2152"/>
      <c r="R62" s="2153"/>
      <c r="S62" s="2153"/>
      <c r="T62" s="2153"/>
      <c r="U62" s="2153"/>
      <c r="V62" s="2153"/>
      <c r="W62" s="2153"/>
      <c r="X62" s="2153"/>
      <c r="Y62" s="2153"/>
      <c r="Z62" s="2153"/>
      <c r="AA62" s="2153"/>
      <c r="AB62" s="2153"/>
      <c r="AC62" s="2153"/>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7"/>
      <c r="O63" s="2147"/>
      <c r="P63" s="2157"/>
      <c r="Q63" s="2141"/>
      <c r="R63" s="2128"/>
      <c r="S63" s="2128"/>
      <c r="T63" s="2128"/>
      <c r="U63" s="2128"/>
      <c r="V63" s="2128"/>
      <c r="W63" s="2128"/>
      <c r="X63" s="2128"/>
      <c r="Y63" s="2128"/>
      <c r="Z63" s="2128"/>
      <c r="AA63" s="2128"/>
      <c r="AB63" s="2128"/>
      <c r="AC63" s="2128"/>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49"/>
      <c r="O64" s="2149"/>
      <c r="P64" s="2148"/>
      <c r="Q64" s="2141"/>
      <c r="R64" s="2128"/>
      <c r="S64" s="2128"/>
      <c r="T64" s="2128"/>
      <c r="U64" s="2128"/>
      <c r="V64" s="2128"/>
      <c r="W64" s="2128"/>
      <c r="X64" s="2128"/>
      <c r="Y64" s="2128"/>
      <c r="Z64" s="2128"/>
      <c r="AA64" s="2128"/>
      <c r="AB64" s="2128"/>
      <c r="AC64" s="2128"/>
    </row>
    <row r="65" spans="1:29" ht="15" thickTop="1">
      <c r="A65" s="669"/>
      <c r="B65" s="1879" t="s">
        <v>2554</v>
      </c>
      <c r="C65" s="708" t="s">
        <v>579</v>
      </c>
      <c r="D65" s="708" t="s">
        <v>580</v>
      </c>
      <c r="E65" s="708" t="s">
        <v>581</v>
      </c>
      <c r="F65" s="708" t="s">
        <v>582</v>
      </c>
      <c r="G65" s="708" t="s">
        <v>583</v>
      </c>
      <c r="H65" s="674"/>
      <c r="I65" s="674"/>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 thickTop="1">
      <c r="A67" s="669"/>
      <c r="B67" s="2559" t="s">
        <v>2555</v>
      </c>
      <c r="C67" s="2560" t="s">
        <v>2556</v>
      </c>
      <c r="D67" s="2560" t="s">
        <v>2557</v>
      </c>
      <c r="E67" s="2560" t="s">
        <v>2558</v>
      </c>
      <c r="F67" s="2560" t="s">
        <v>2559</v>
      </c>
      <c r="G67" s="2560" t="s">
        <v>2560</v>
      </c>
      <c r="H67" s="674"/>
      <c r="I67" s="674"/>
      <c r="J67" s="674"/>
      <c r="K67" s="674"/>
      <c r="L67" s="674"/>
      <c r="M67" s="2563"/>
      <c r="N67" s="2149"/>
      <c r="O67" s="2149"/>
      <c r="P67" s="2148"/>
      <c r="Q67" s="2141"/>
      <c r="R67" s="2128"/>
      <c r="S67" s="2128"/>
      <c r="T67" s="2128"/>
      <c r="U67" s="2128"/>
      <c r="V67" s="2128"/>
      <c r="W67" s="2128"/>
      <c r="X67" s="2128"/>
      <c r="Y67" s="2128"/>
      <c r="Z67" s="2128"/>
      <c r="AA67" s="2128"/>
      <c r="AB67" s="2128"/>
      <c r="AC67" s="2128"/>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49"/>
      <c r="O68" s="2149"/>
      <c r="P68" s="2148"/>
      <c r="Q68" s="2141"/>
      <c r="R68" s="2128"/>
      <c r="S68" s="2128"/>
      <c r="T68" s="2128"/>
      <c r="U68" s="2128"/>
      <c r="V68" s="2128"/>
      <c r="W68" s="2128"/>
      <c r="X68" s="2128"/>
      <c r="Y68" s="2128"/>
      <c r="Z68" s="2128"/>
      <c r="AA68" s="2128"/>
      <c r="AB68" s="2128"/>
      <c r="AC68" s="2128"/>
    </row>
    <row r="69" spans="1:29" ht="15" thickTop="1">
      <c r="A69" s="669"/>
      <c r="B69" s="673" t="s">
        <v>744</v>
      </c>
      <c r="C69" s="708" t="s">
        <v>579</v>
      </c>
      <c r="D69" s="708" t="s">
        <v>580</v>
      </c>
      <c r="E69" s="708" t="s">
        <v>581</v>
      </c>
      <c r="F69" s="708" t="s">
        <v>582</v>
      </c>
      <c r="G69" s="708" t="s">
        <v>583</v>
      </c>
      <c r="H69" s="674"/>
      <c r="I69" s="674"/>
      <c r="J69" s="674"/>
      <c r="K69" s="675"/>
      <c r="L69" s="676"/>
      <c r="M69" s="677"/>
      <c r="N69" s="2147"/>
      <c r="O69" s="2147"/>
      <c r="P69" s="2148"/>
      <c r="Q69" s="2141"/>
      <c r="R69" s="2128"/>
      <c r="S69" s="2128"/>
      <c r="T69" s="2128"/>
      <c r="U69" s="2128"/>
      <c r="V69" s="2128"/>
      <c r="W69" s="2128"/>
      <c r="X69" s="2128"/>
      <c r="Y69" s="2128"/>
      <c r="Z69" s="2128"/>
      <c r="AA69" s="2128"/>
      <c r="AB69" s="2128"/>
      <c r="AC69" s="2128"/>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49"/>
      <c r="O70" s="2149"/>
      <c r="P70" s="2148"/>
      <c r="Q70" s="2141"/>
      <c r="R70" s="2128"/>
      <c r="S70" s="2128"/>
      <c r="T70" s="2128"/>
      <c r="U70" s="2128"/>
      <c r="V70" s="2128"/>
      <c r="W70" s="2128"/>
      <c r="X70" s="2128"/>
      <c r="Y70" s="2128"/>
      <c r="Z70" s="2128"/>
      <c r="AA70" s="2128"/>
      <c r="AB70" s="2128"/>
      <c r="AC70" s="2128"/>
    </row>
    <row r="71" spans="1:29" ht="15" thickTop="1">
      <c r="A71" s="669"/>
      <c r="B71" s="673" t="s">
        <v>745</v>
      </c>
      <c r="C71" s="688"/>
      <c r="D71" s="688"/>
      <c r="E71" s="688"/>
      <c r="F71" s="688"/>
      <c r="G71" s="688"/>
      <c r="H71" s="718"/>
      <c r="I71" s="718"/>
      <c r="J71" s="718"/>
      <c r="K71" s="719"/>
      <c r="L71" s="720"/>
      <c r="M71" s="721"/>
      <c r="N71" s="2147"/>
      <c r="O71" s="2147"/>
      <c r="P71" s="2148"/>
      <c r="Q71" s="2141"/>
      <c r="R71" s="2128"/>
      <c r="S71" s="2128"/>
      <c r="T71" s="2128"/>
      <c r="U71" s="2128"/>
      <c r="V71" s="2128"/>
      <c r="W71" s="2128"/>
      <c r="X71" s="2128"/>
      <c r="Y71" s="2128"/>
      <c r="Z71" s="2128"/>
      <c r="AA71" s="2128"/>
      <c r="AB71" s="2128"/>
      <c r="AC71" s="2128"/>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49"/>
      <c r="O72" s="2149"/>
      <c r="P72" s="2148"/>
      <c r="Q72" s="2141"/>
      <c r="R72" s="2128"/>
      <c r="S72" s="2128"/>
      <c r="T72" s="2128"/>
      <c r="U72" s="2128"/>
      <c r="V72" s="2128"/>
      <c r="W72" s="2128"/>
      <c r="X72" s="2128"/>
      <c r="Y72" s="2128"/>
      <c r="Z72" s="2128"/>
      <c r="AA72" s="2128"/>
      <c r="AB72" s="2128"/>
      <c r="AC72" s="2128"/>
    </row>
    <row r="73" spans="1:29" s="1216" customFormat="1" ht="14.4" thickTop="1">
      <c r="A73" s="709"/>
      <c r="B73" s="673">
        <f>B23</f>
        <v>111</v>
      </c>
      <c r="C73" s="541"/>
      <c r="D73" s="541"/>
      <c r="E73" s="541"/>
      <c r="F73" s="541"/>
      <c r="G73" s="688"/>
      <c r="H73" s="688"/>
      <c r="I73" s="688"/>
      <c r="J73" s="688"/>
      <c r="K73" s="688"/>
      <c r="L73" s="890"/>
      <c r="M73" s="891"/>
      <c r="N73" s="2145"/>
      <c r="O73" s="2145"/>
      <c r="P73" s="2148"/>
      <c r="Q73" s="2141"/>
      <c r="R73" s="1976"/>
      <c r="S73" s="1976"/>
      <c r="T73" s="1976"/>
      <c r="U73" s="1976"/>
      <c r="V73" s="1976"/>
      <c r="W73" s="1976"/>
      <c r="X73" s="1976"/>
      <c r="Y73" s="1976"/>
      <c r="Z73" s="1976"/>
      <c r="AA73" s="1976"/>
      <c r="AB73" s="1976"/>
      <c r="AC73" s="1976"/>
    </row>
    <row r="74" spans="1:29" s="1216" customFormat="1" ht="14.4" thickBot="1">
      <c r="A74" s="709"/>
      <c r="B74" s="678"/>
      <c r="C74" s="692"/>
      <c r="D74" s="671"/>
      <c r="E74" s="671"/>
      <c r="F74" s="671"/>
      <c r="G74" s="671"/>
      <c r="H74" s="671"/>
      <c r="I74" s="671"/>
      <c r="J74" s="671"/>
      <c r="K74" s="671"/>
      <c r="L74" s="671"/>
      <c r="M74" s="672"/>
      <c r="N74" s="2149"/>
      <c r="O74" s="2149"/>
      <c r="P74" s="2148"/>
      <c r="Q74" s="2141"/>
      <c r="R74" s="1976"/>
      <c r="S74" s="1976"/>
      <c r="T74" s="1976"/>
      <c r="U74" s="1976"/>
      <c r="V74" s="1976"/>
      <c r="W74" s="1976"/>
      <c r="X74" s="1976"/>
      <c r="Y74" s="1976"/>
      <c r="Z74" s="1976"/>
      <c r="AA74" s="1976"/>
      <c r="AB74" s="1976"/>
      <c r="AC74" s="1976"/>
    </row>
    <row r="75" spans="1:29" s="1216" customFormat="1" ht="14.4" thickTop="1">
      <c r="A75" s="709"/>
      <c r="B75" s="673">
        <f>B24</f>
        <v>111</v>
      </c>
      <c r="C75" s="541"/>
      <c r="D75" s="541"/>
      <c r="E75" s="541"/>
      <c r="F75" s="541"/>
      <c r="G75" s="688"/>
      <c r="H75" s="688"/>
      <c r="I75" s="688"/>
      <c r="J75" s="688"/>
      <c r="K75" s="688"/>
      <c r="L75" s="688"/>
      <c r="M75" s="891"/>
      <c r="N75" s="2145"/>
      <c r="O75" s="2145"/>
      <c r="P75" s="2148"/>
      <c r="Q75" s="2141"/>
      <c r="R75" s="1976"/>
      <c r="S75" s="1976"/>
      <c r="T75" s="1976"/>
      <c r="U75" s="1976"/>
      <c r="V75" s="1976"/>
      <c r="W75" s="1976"/>
      <c r="X75" s="1976"/>
      <c r="Y75" s="1976"/>
      <c r="Z75" s="1976"/>
      <c r="AA75" s="1976"/>
      <c r="AB75" s="1976"/>
      <c r="AC75" s="1976"/>
    </row>
    <row r="76" spans="1:29" s="1216" customFormat="1" ht="14.4" thickBot="1">
      <c r="A76" s="709"/>
      <c r="B76" s="678"/>
      <c r="C76" s="692"/>
      <c r="D76" s="671"/>
      <c r="E76" s="671"/>
      <c r="F76" s="671"/>
      <c r="G76" s="671"/>
      <c r="H76" s="671"/>
      <c r="I76" s="671"/>
      <c r="J76" s="671"/>
      <c r="K76" s="671"/>
      <c r="L76" s="671"/>
      <c r="M76" s="672"/>
      <c r="N76" s="2149"/>
      <c r="O76" s="2149"/>
      <c r="P76" s="2148"/>
      <c r="Q76" s="2141"/>
      <c r="R76" s="1976"/>
      <c r="S76" s="1976"/>
      <c r="T76" s="1976"/>
      <c r="U76" s="1976"/>
      <c r="V76" s="1976"/>
      <c r="W76" s="1976"/>
      <c r="X76" s="1976"/>
      <c r="Y76" s="1976"/>
      <c r="Z76" s="1976"/>
      <c r="AA76" s="1976"/>
      <c r="AB76" s="1976"/>
      <c r="AC76" s="1976"/>
    </row>
    <row r="77" spans="1:29" s="1335" customFormat="1" ht="14.4" thickTop="1">
      <c r="A77" s="687"/>
      <c r="B77" s="673">
        <f>B25</f>
        <v>111</v>
      </c>
      <c r="C77" s="688"/>
      <c r="D77" s="688"/>
      <c r="E77" s="688"/>
      <c r="F77" s="688"/>
      <c r="G77" s="688"/>
      <c r="H77" s="689"/>
      <c r="I77" s="689"/>
      <c r="J77" s="689"/>
      <c r="K77" s="689"/>
      <c r="L77" s="690"/>
      <c r="M77" s="691"/>
      <c r="N77" s="2150"/>
      <c r="O77" s="2150"/>
      <c r="P77" s="2151"/>
      <c r="Q77" s="2152"/>
      <c r="R77" s="2153"/>
      <c r="S77" s="2153"/>
      <c r="T77" s="2153"/>
      <c r="U77" s="2153"/>
      <c r="V77" s="2153"/>
      <c r="W77" s="2153"/>
      <c r="X77" s="2153"/>
      <c r="Y77" s="2153"/>
      <c r="Z77" s="2153"/>
      <c r="AA77" s="2153"/>
      <c r="AB77" s="2153"/>
      <c r="AC77" s="2153"/>
    </row>
    <row r="78" spans="1:29" s="1335" customFormat="1" ht="14.4" thickBot="1">
      <c r="A78" s="687"/>
      <c r="B78" s="678"/>
      <c r="C78" s="692"/>
      <c r="D78" s="692"/>
      <c r="E78" s="692"/>
      <c r="F78" s="692"/>
      <c r="G78" s="671"/>
      <c r="H78" s="671"/>
      <c r="I78" s="671"/>
      <c r="J78" s="671"/>
      <c r="K78" s="671"/>
      <c r="L78" s="671"/>
      <c r="M78" s="672"/>
      <c r="N78" s="2150"/>
      <c r="O78" s="2150"/>
      <c r="P78" s="2151"/>
      <c r="Q78" s="2152"/>
      <c r="R78" s="2153"/>
      <c r="S78" s="2153"/>
      <c r="T78" s="2153"/>
      <c r="U78" s="2153"/>
      <c r="V78" s="2153"/>
      <c r="W78" s="2153"/>
      <c r="X78" s="2153"/>
      <c r="Y78" s="2153"/>
      <c r="Z78" s="2153"/>
      <c r="AA78" s="2153"/>
      <c r="AB78" s="2153"/>
      <c r="AC78" s="2153"/>
    </row>
    <row r="79" spans="1:29" ht="29.4" thickTop="1">
      <c r="A79" s="664" t="s">
        <v>551</v>
      </c>
      <c r="B79" s="665" t="s">
        <v>814</v>
      </c>
      <c r="C79" s="704">
        <f>C26</f>
        <v>0</v>
      </c>
      <c r="D79" s="598"/>
      <c r="E79" s="598"/>
      <c r="F79" s="598"/>
      <c r="G79" s="598"/>
      <c r="H79" s="598"/>
      <c r="I79" s="598"/>
      <c r="J79" s="598"/>
      <c r="K79" s="666"/>
      <c r="L79" s="667"/>
      <c r="M79" s="668"/>
      <c r="N79" s="2147"/>
      <c r="O79" s="2147"/>
      <c r="P79" s="2148"/>
      <c r="Q79" s="2141"/>
      <c r="R79" s="2128"/>
      <c r="S79" s="2128"/>
      <c r="T79" s="2128"/>
      <c r="U79" s="2128"/>
      <c r="V79" s="2128"/>
      <c r="W79" s="2128"/>
      <c r="X79" s="2128"/>
      <c r="Y79" s="2128"/>
      <c r="Z79" s="2128"/>
      <c r="AA79" s="2128"/>
      <c r="AB79" s="2128"/>
      <c r="AC79" s="2128"/>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49"/>
      <c r="O80" s="2149"/>
      <c r="P80" s="2148"/>
      <c r="Q80" s="2141"/>
      <c r="R80" s="2128"/>
      <c r="S80" s="2128"/>
      <c r="T80" s="2128"/>
      <c r="U80" s="2128"/>
      <c r="V80" s="2128"/>
      <c r="W80" s="2128"/>
      <c r="X80" s="2128"/>
      <c r="Y80" s="2128"/>
      <c r="Z80" s="2128"/>
      <c r="AA80" s="2128"/>
      <c r="AB80" s="2128"/>
      <c r="AC80" s="2128"/>
    </row>
    <row r="81" spans="1:29" ht="15" thickTop="1">
      <c r="A81" s="669"/>
      <c r="B81" s="673" t="s">
        <v>815</v>
      </c>
      <c r="C81" s="936"/>
      <c r="D81" s="936"/>
      <c r="E81" s="936"/>
      <c r="F81" s="936"/>
      <c r="G81" s="936"/>
      <c r="H81" s="936"/>
      <c r="I81" s="936"/>
      <c r="J81" s="936"/>
      <c r="K81" s="937"/>
      <c r="L81" s="938"/>
      <c r="M81" s="939"/>
      <c r="N81" s="2145"/>
      <c r="O81" s="2145"/>
      <c r="P81" s="2148"/>
      <c r="Q81" s="2141"/>
      <c r="R81" s="2128"/>
      <c r="S81" s="2128"/>
      <c r="T81" s="2128"/>
      <c r="U81" s="2128"/>
      <c r="V81" s="2128"/>
      <c r="W81" s="2128"/>
      <c r="X81" s="2128"/>
      <c r="Y81" s="2128"/>
      <c r="Z81" s="2128"/>
      <c r="AA81" s="2128"/>
      <c r="AB81" s="2128"/>
      <c r="AC81" s="2128"/>
    </row>
    <row r="82" spans="1:29" s="1335" customFormat="1" ht="14.4" thickBot="1">
      <c r="A82" s="687"/>
      <c r="B82" s="678"/>
      <c r="C82" s="692"/>
      <c r="D82" s="671"/>
      <c r="E82" s="671"/>
      <c r="F82" s="671"/>
      <c r="G82" s="671"/>
      <c r="H82" s="671"/>
      <c r="I82" s="671"/>
      <c r="J82" s="671"/>
      <c r="K82" s="671"/>
      <c r="L82" s="671"/>
      <c r="M82" s="672"/>
      <c r="N82" s="2149"/>
      <c r="O82" s="2149"/>
      <c r="P82" s="2151"/>
      <c r="Q82" s="2152"/>
      <c r="R82" s="2153"/>
      <c r="S82" s="2153"/>
      <c r="T82" s="2153"/>
      <c r="U82" s="2153"/>
      <c r="V82" s="2153"/>
      <c r="W82" s="2153"/>
      <c r="X82" s="2153"/>
      <c r="Y82" s="2153"/>
      <c r="Z82" s="2153"/>
      <c r="AA82" s="2153"/>
      <c r="AB82" s="2153"/>
      <c r="AC82" s="2153"/>
    </row>
    <row r="83" spans="1:29" ht="15" thickTop="1">
      <c r="A83" s="735"/>
      <c r="B83" s="673" t="s">
        <v>751</v>
      </c>
      <c r="C83" s="688"/>
      <c r="D83" s="688"/>
      <c r="E83" s="718"/>
      <c r="F83" s="718"/>
      <c r="G83" s="718"/>
      <c r="H83" s="718"/>
      <c r="I83" s="718"/>
      <c r="J83" s="718"/>
      <c r="K83" s="719"/>
      <c r="L83" s="720"/>
      <c r="M83" s="721"/>
      <c r="N83" s="2147"/>
      <c r="O83" s="2147"/>
      <c r="P83" s="2148"/>
      <c r="Q83" s="2141"/>
      <c r="R83" s="2128"/>
      <c r="S83" s="2128"/>
      <c r="T83" s="2128"/>
      <c r="U83" s="2128"/>
      <c r="V83" s="2128"/>
      <c r="W83" s="2128"/>
      <c r="X83" s="2128"/>
      <c r="Y83" s="2128"/>
      <c r="Z83" s="2128"/>
      <c r="AA83" s="2128"/>
      <c r="AB83" s="2128"/>
      <c r="AC83" s="2128"/>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7"/>
      <c r="O85" s="2147"/>
      <c r="P85" s="2148"/>
      <c r="Q85" s="2141"/>
      <c r="R85" s="2128"/>
      <c r="S85" s="2128"/>
      <c r="T85" s="2128"/>
      <c r="U85" s="2128"/>
      <c r="V85" s="2128"/>
      <c r="W85" s="2128"/>
      <c r="X85" s="2128"/>
      <c r="Y85" s="2128"/>
      <c r="Z85" s="2128"/>
      <c r="AA85" s="2128"/>
      <c r="AB85" s="2128"/>
      <c r="AC85" s="2128"/>
    </row>
    <row r="86" spans="1:29">
      <c r="A86" s="735"/>
      <c r="B86" s="681"/>
      <c r="C86" s="894">
        <v>0.5</v>
      </c>
      <c r="D86" s="894">
        <v>0.6</v>
      </c>
      <c r="E86" s="894">
        <v>0.7</v>
      </c>
      <c r="F86" s="894">
        <v>0.8</v>
      </c>
      <c r="G86" s="894">
        <v>0.9</v>
      </c>
      <c r="H86" s="894">
        <v>1.0001</v>
      </c>
      <c r="I86" s="905"/>
      <c r="J86" s="905"/>
      <c r="K86" s="906"/>
      <c r="L86" s="907"/>
      <c r="M86" s="908"/>
      <c r="N86" s="2147"/>
      <c r="O86" s="2147"/>
      <c r="P86" s="2148"/>
      <c r="Q86" s="2141"/>
      <c r="R86" s="2128"/>
      <c r="S86" s="2128"/>
      <c r="T86" s="2128"/>
      <c r="U86" s="2128"/>
      <c r="V86" s="2128"/>
      <c r="W86" s="2128"/>
      <c r="X86" s="2128"/>
      <c r="Y86" s="2128"/>
      <c r="Z86" s="2128"/>
      <c r="AA86" s="2128"/>
      <c r="AB86" s="2128"/>
      <c r="AC86" s="2128"/>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5"/>
      <c r="B88" s="681" t="s">
        <v>817</v>
      </c>
      <c r="C88" s="598"/>
      <c r="D88" s="598"/>
      <c r="E88" s="598"/>
      <c r="F88" s="598"/>
      <c r="G88" s="598"/>
      <c r="H88" s="598"/>
      <c r="I88" s="598"/>
      <c r="J88" s="598"/>
      <c r="K88" s="666"/>
      <c r="L88" s="667"/>
      <c r="M88" s="668"/>
      <c r="N88" s="2147"/>
      <c r="O88" s="2147"/>
      <c r="P88" s="2148"/>
      <c r="Q88" s="2141"/>
      <c r="R88" s="2128"/>
      <c r="S88" s="2128"/>
      <c r="T88" s="2128"/>
      <c r="U88" s="2128"/>
      <c r="V88" s="2128"/>
      <c r="W88" s="2128"/>
      <c r="X88" s="2128"/>
      <c r="Y88" s="2128"/>
      <c r="Z88" s="2128"/>
      <c r="AA88" s="2128"/>
      <c r="AB88" s="2128"/>
      <c r="AC88" s="2128"/>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49"/>
      <c r="O89" s="2149"/>
      <c r="P89" s="2148"/>
      <c r="Q89" s="2141"/>
      <c r="R89" s="2128"/>
      <c r="S89" s="2128"/>
      <c r="T89" s="2128"/>
      <c r="U89" s="2128"/>
      <c r="V89" s="2128"/>
      <c r="W89" s="2128"/>
      <c r="X89" s="2128"/>
      <c r="Y89" s="2128"/>
      <c r="Z89" s="2128"/>
      <c r="AA89" s="2128"/>
      <c r="AB89" s="2128"/>
      <c r="AC89" s="2128"/>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0"/>
      <c r="O90" s="2150"/>
      <c r="P90" s="2151"/>
      <c r="Q90" s="2152"/>
      <c r="R90" s="2153"/>
      <c r="S90" s="2153"/>
      <c r="T90" s="2153"/>
      <c r="U90" s="2153"/>
      <c r="V90" s="2153"/>
      <c r="W90" s="2153"/>
      <c r="X90" s="2153"/>
      <c r="Y90" s="2153"/>
      <c r="Z90" s="2153"/>
      <c r="AA90" s="2153"/>
      <c r="AB90" s="2153"/>
      <c r="AC90" s="2153"/>
    </row>
    <row r="91" spans="1:29" s="1335" customFormat="1">
      <c r="A91" s="728"/>
      <c r="B91" s="681"/>
      <c r="C91" s="730"/>
      <c r="D91" s="730"/>
      <c r="E91" s="730"/>
      <c r="F91" s="730"/>
      <c r="G91" s="730"/>
      <c r="H91" s="730"/>
      <c r="I91" s="730"/>
      <c r="J91" s="731"/>
      <c r="K91" s="731"/>
      <c r="L91" s="732"/>
      <c r="M91" s="733"/>
      <c r="N91" s="2150"/>
      <c r="O91" s="2150"/>
      <c r="P91" s="2151"/>
      <c r="Q91" s="2152"/>
      <c r="R91" s="2153"/>
      <c r="S91" s="2153"/>
      <c r="T91" s="2153"/>
      <c r="U91" s="2153"/>
      <c r="V91" s="2153"/>
      <c r="W91" s="2153"/>
      <c r="X91" s="2153"/>
      <c r="Y91" s="2153"/>
      <c r="Z91" s="2153"/>
      <c r="AA91" s="2153"/>
      <c r="AB91" s="2153"/>
      <c r="AC91" s="2153"/>
    </row>
    <row r="92" spans="1:29" s="1335" customFormat="1" ht="14.4" thickBot="1">
      <c r="A92" s="687"/>
      <c r="B92" s="678"/>
      <c r="C92" s="692"/>
      <c r="D92" s="671"/>
      <c r="E92" s="671"/>
      <c r="F92" s="671"/>
      <c r="G92" s="671"/>
      <c r="H92" s="671"/>
      <c r="I92" s="671"/>
      <c r="J92" s="671"/>
      <c r="K92" s="671"/>
      <c r="L92" s="671"/>
      <c r="M92" s="672"/>
      <c r="N92" s="2150"/>
      <c r="O92" s="2150"/>
      <c r="P92" s="2151"/>
      <c r="Q92" s="2152"/>
      <c r="R92" s="2153"/>
      <c r="S92" s="2153"/>
      <c r="T92" s="2153"/>
      <c r="U92" s="2153"/>
      <c r="V92" s="2153"/>
      <c r="W92" s="2153"/>
      <c r="X92" s="2153"/>
      <c r="Y92" s="2153"/>
      <c r="Z92" s="2153"/>
      <c r="AA92" s="2153"/>
      <c r="AB92" s="2153"/>
      <c r="AC92" s="2153"/>
    </row>
    <row r="93" spans="1:29" ht="15" thickTop="1">
      <c r="A93" s="735"/>
      <c r="B93" s="673" t="s">
        <v>819</v>
      </c>
      <c r="C93" s="688"/>
      <c r="D93" s="688"/>
      <c r="E93" s="718"/>
      <c r="F93" s="718"/>
      <c r="G93" s="718"/>
      <c r="H93" s="718"/>
      <c r="I93" s="718"/>
      <c r="J93" s="718"/>
      <c r="K93" s="719"/>
      <c r="L93" s="720"/>
      <c r="M93" s="721"/>
      <c r="N93" s="2147"/>
      <c r="O93" s="2147"/>
      <c r="P93" s="2148"/>
      <c r="Q93" s="2141"/>
      <c r="R93" s="2128"/>
      <c r="S93" s="2128"/>
      <c r="T93" s="2128"/>
      <c r="U93" s="2128"/>
      <c r="V93" s="2128"/>
      <c r="W93" s="2128"/>
      <c r="X93" s="2128"/>
      <c r="Y93" s="2128"/>
      <c r="Z93" s="2128"/>
      <c r="AA93" s="2128"/>
      <c r="AB93" s="2128"/>
      <c r="AC93" s="2128"/>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5"/>
      <c r="B95" s="673" t="s">
        <v>820</v>
      </c>
      <c r="C95" s="598"/>
      <c r="D95" s="598"/>
      <c r="E95" s="598"/>
      <c r="F95" s="598"/>
      <c r="G95" s="598"/>
      <c r="H95" s="598"/>
      <c r="I95" s="598"/>
      <c r="J95" s="598"/>
      <c r="K95" s="666"/>
      <c r="L95" s="667"/>
      <c r="M95" s="668"/>
      <c r="N95" s="2147"/>
      <c r="O95" s="2147"/>
      <c r="P95" s="2148"/>
      <c r="Q95" s="2141"/>
      <c r="R95" s="2128"/>
      <c r="S95" s="2128"/>
      <c r="T95" s="2128"/>
      <c r="U95" s="2128"/>
      <c r="V95" s="2128"/>
      <c r="W95" s="2128"/>
      <c r="X95" s="2128"/>
      <c r="Y95" s="2128"/>
      <c r="Z95" s="2128"/>
      <c r="AA95" s="2128"/>
      <c r="AB95" s="2128"/>
      <c r="AC95" s="2128"/>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49"/>
      <c r="O96" s="2149"/>
      <c r="P96" s="2148"/>
      <c r="Q96" s="2141"/>
      <c r="R96" s="2128"/>
      <c r="S96" s="2128"/>
      <c r="T96" s="2128"/>
      <c r="U96" s="2128"/>
      <c r="V96" s="2128"/>
      <c r="W96" s="2128"/>
      <c r="X96" s="2128"/>
      <c r="Y96" s="2128"/>
      <c r="Z96" s="2128"/>
      <c r="AA96" s="2128"/>
      <c r="AB96" s="2128"/>
      <c r="AC96" s="2128"/>
    </row>
    <row r="97" spans="1:29" ht="14.4" thickTop="1">
      <c r="A97" s="735"/>
      <c r="B97" s="917">
        <f>B34</f>
        <v>111</v>
      </c>
      <c r="C97" s="541"/>
      <c r="D97" s="541"/>
      <c r="E97" s="541"/>
      <c r="F97" s="541"/>
      <c r="G97" s="688"/>
      <c r="H97" s="689"/>
      <c r="I97" s="689"/>
      <c r="J97" s="689"/>
      <c r="K97" s="689"/>
      <c r="L97" s="690"/>
      <c r="M97" s="691"/>
      <c r="N97" s="2149"/>
      <c r="O97" s="2149"/>
      <c r="P97" s="2188"/>
      <c r="Q97" s="2189"/>
      <c r="R97" s="2128"/>
      <c r="S97" s="2128"/>
      <c r="T97" s="2128"/>
      <c r="U97" s="2128"/>
      <c r="V97" s="2128"/>
      <c r="W97" s="2128"/>
      <c r="X97" s="2128"/>
      <c r="Y97" s="2128"/>
      <c r="Z97" s="2128"/>
      <c r="AA97" s="2128"/>
      <c r="AB97" s="2128"/>
      <c r="AC97" s="2128"/>
    </row>
    <row r="98" spans="1:29" ht="14.4" thickBot="1">
      <c r="A98" s="669"/>
      <c r="B98" s="678"/>
      <c r="C98" s="692"/>
      <c r="D98" s="671"/>
      <c r="E98" s="671"/>
      <c r="F98" s="671"/>
      <c r="G98" s="692"/>
      <c r="H98" s="693"/>
      <c r="I98" s="693"/>
      <c r="J98" s="693"/>
      <c r="K98" s="693"/>
      <c r="L98" s="693"/>
      <c r="M98" s="694"/>
      <c r="N98" s="2149"/>
      <c r="O98" s="2149"/>
      <c r="P98" s="2148"/>
      <c r="Q98" s="2141"/>
      <c r="R98" s="2128"/>
      <c r="S98" s="2128"/>
      <c r="T98" s="2128"/>
      <c r="U98" s="2128"/>
      <c r="V98" s="2128"/>
      <c r="W98" s="2128"/>
      <c r="X98" s="2128"/>
      <c r="Y98" s="2128"/>
      <c r="Z98" s="2128"/>
      <c r="AA98" s="2128"/>
      <c r="AB98" s="2128"/>
      <c r="AC98" s="2128"/>
    </row>
    <row r="99" spans="1:29" s="1335" customFormat="1" ht="14.4" thickTop="1">
      <c r="A99" s="728"/>
      <c r="B99" s="673">
        <f>B35</f>
        <v>111</v>
      </c>
      <c r="C99" s="541"/>
      <c r="D99" s="541"/>
      <c r="E99" s="541"/>
      <c r="F99" s="541"/>
      <c r="G99" s="688"/>
      <c r="H99" s="689"/>
      <c r="I99" s="689"/>
      <c r="J99" s="689"/>
      <c r="K99" s="689"/>
      <c r="L99" s="690"/>
      <c r="M99" s="691"/>
      <c r="N99" s="2150"/>
      <c r="O99" s="2150"/>
      <c r="P99" s="2151"/>
      <c r="Q99" s="2152"/>
      <c r="R99" s="2153"/>
      <c r="S99" s="2153"/>
      <c r="T99" s="2153"/>
      <c r="U99" s="2153"/>
      <c r="V99" s="2153"/>
      <c r="W99" s="2153"/>
      <c r="X99" s="2153"/>
      <c r="Y99" s="2153"/>
      <c r="Z99" s="2153"/>
      <c r="AA99" s="2153"/>
      <c r="AB99" s="2153"/>
      <c r="AC99" s="2153"/>
    </row>
    <row r="100" spans="1:29" s="1335" customFormat="1" ht="14.4" thickBot="1">
      <c r="A100" s="687"/>
      <c r="B100" s="670"/>
      <c r="C100" s="692"/>
      <c r="D100" s="671"/>
      <c r="E100" s="671"/>
      <c r="F100" s="671"/>
      <c r="G100" s="692"/>
      <c r="H100" s="693"/>
      <c r="I100" s="693"/>
      <c r="J100" s="693"/>
      <c r="K100" s="693"/>
      <c r="L100" s="693"/>
      <c r="M100" s="694"/>
      <c r="N100" s="2150"/>
      <c r="O100" s="2150"/>
      <c r="P100" s="2151"/>
      <c r="Q100" s="2152"/>
      <c r="R100" s="2153"/>
      <c r="S100" s="2153"/>
      <c r="T100" s="2153"/>
      <c r="U100" s="2153"/>
      <c r="V100" s="2153"/>
      <c r="W100" s="2153"/>
      <c r="X100" s="2153"/>
      <c r="Y100" s="2153"/>
      <c r="Z100" s="2153"/>
      <c r="AA100" s="2153"/>
      <c r="AB100" s="2153"/>
      <c r="AC100" s="2153"/>
    </row>
    <row r="101" spans="1:29" ht="14.4" thickTop="1">
      <c r="A101" s="735"/>
      <c r="B101" s="673">
        <f>B36</f>
        <v>111</v>
      </c>
      <c r="C101" s="688"/>
      <c r="D101" s="688"/>
      <c r="E101" s="688"/>
      <c r="F101" s="688"/>
      <c r="G101" s="688"/>
      <c r="H101" s="689"/>
      <c r="I101" s="689"/>
      <c r="J101" s="689"/>
      <c r="K101" s="689"/>
      <c r="L101" s="690"/>
      <c r="M101" s="691"/>
      <c r="N101" s="2147"/>
      <c r="O101" s="2147"/>
      <c r="P101" s="2148"/>
      <c r="Q101" s="2141"/>
      <c r="R101" s="2128"/>
      <c r="S101" s="2128"/>
      <c r="T101" s="2128"/>
      <c r="U101" s="2128"/>
      <c r="V101" s="2128"/>
      <c r="W101" s="2128"/>
      <c r="X101" s="2128"/>
      <c r="Y101" s="2128"/>
      <c r="Z101" s="2128"/>
      <c r="AA101" s="2128"/>
      <c r="AB101" s="2128"/>
      <c r="AC101" s="2128"/>
    </row>
    <row r="102" spans="1:29" ht="14.4" thickBot="1">
      <c r="A102" s="669"/>
      <c r="B102" s="678"/>
      <c r="C102" s="692"/>
      <c r="D102" s="692"/>
      <c r="E102" s="692"/>
      <c r="F102" s="692"/>
      <c r="G102" s="692"/>
      <c r="H102" s="693"/>
      <c r="I102" s="693"/>
      <c r="J102" s="693"/>
      <c r="K102" s="693"/>
      <c r="L102" s="693"/>
      <c r="M102" s="694"/>
      <c r="N102" s="2149"/>
      <c r="O102" s="2149"/>
      <c r="P102" s="2148"/>
      <c r="Q102" s="2141"/>
      <c r="R102" s="2128"/>
      <c r="S102" s="2128"/>
      <c r="T102" s="2128"/>
      <c r="U102" s="2128"/>
      <c r="V102" s="2128"/>
      <c r="W102" s="2128"/>
      <c r="X102" s="2128"/>
      <c r="Y102" s="2128"/>
      <c r="Z102" s="2128"/>
      <c r="AA102" s="2128"/>
      <c r="AB102" s="2128"/>
      <c r="AC102" s="2128"/>
    </row>
    <row r="103" spans="1:29" ht="14.4"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xr:uid="{00000000-0002-0000-2900-000000000000}">
      <formula1>土地年限区间</formula1>
    </dataValidation>
    <dataValidation type="list" allowBlank="1" showInputMessage="1" showErrorMessage="1" sqref="D1" xr:uid="{00000000-0002-0000-2900-000001000000}">
      <formula1>项目类型</formula1>
    </dataValidation>
    <dataValidation type="list" allowBlank="1" showInputMessage="1" showErrorMessage="1" sqref="G17 C17 I17 E17" xr:uid="{00000000-0002-0000-2900-000002000000}">
      <formula1>公共配套设施</formula1>
    </dataValidation>
    <dataValidation type="list" allowBlank="1" showInputMessage="1" showErrorMessage="1" sqref="G15 E15 C15 I15" xr:uid="{00000000-0002-0000-2900-000003000000}">
      <formula1>交通便捷度</formula1>
    </dataValidation>
    <dataValidation type="list" allowBlank="1" showInputMessage="1" showErrorMessage="1" sqref="C8 E8 G8 I8" xr:uid="{00000000-0002-0000-2900-000004000000}">
      <formula1>车位交易情况</formula1>
    </dataValidation>
    <dataValidation type="list" allowBlank="1" showInputMessage="1" showErrorMessage="1" sqref="E9 G9 I9" xr:uid="{00000000-0002-0000-2900-000005000000}">
      <formula1>车位用途</formula1>
    </dataValidation>
    <dataValidation type="list" allowBlank="1" showInputMessage="1" showErrorMessage="1" sqref="C22 E22 G22 I22" xr:uid="{00000000-0002-0000-2900-000006000000}">
      <formula1>车位楼层</formula1>
    </dataValidation>
    <dataValidation type="list" allowBlank="1" showInputMessage="1" showErrorMessage="1" sqref="C30 E30 G30 I30" xr:uid="{00000000-0002-0000-2900-000007000000}">
      <formula1>车位物业等级</formula1>
    </dataValidation>
    <dataValidation type="list" allowBlank="1" showInputMessage="1" showErrorMessage="1" sqref="C32 E32 G32 I32" xr:uid="{00000000-0002-0000-2900-000008000000}">
      <formula1>车位类型</formula1>
    </dataValidation>
    <dataValidation type="list" allowBlank="1" showInputMessage="1" showErrorMessage="1" sqref="C33 E33 G33 I33" xr:uid="{00000000-0002-0000-2900-000009000000}">
      <formula1>是否直接入户</formula1>
    </dataValidation>
    <dataValidation type="list" allowBlank="1" showInputMessage="1" showErrorMessage="1" sqref="B1" xr:uid="{00000000-0002-0000-2900-00000A000000}">
      <formula1>地类判定</formula1>
    </dataValidation>
    <dataValidation type="list" allowBlank="1" showInputMessage="1" showErrorMessage="1" sqref="I26 E26 G26" xr:uid="{00000000-0002-0000-2900-00000B000000}">
      <formula1>车位配套类型</formula1>
    </dataValidation>
    <dataValidation type="list" allowBlank="1" showInputMessage="1" showErrorMessage="1" sqref="C28 E28 G28 I28" xr:uid="{00000000-0002-0000-2900-00000C000000}">
      <formula1>车位公共部分装修</formula1>
    </dataValidation>
    <dataValidation type="list" allowBlank="1" showInputMessage="1" showErrorMessage="1" sqref="B37" xr:uid="{00000000-0002-0000-2900-00000D000000}">
      <formula1>"元/平方米,元/车位"</formula1>
    </dataValidation>
    <dataValidation type="list" allowBlank="1" showInputMessage="1" showErrorMessage="1" sqref="C21 E21 G21 I21" xr:uid="{00000000-0002-0000-2900-00000E000000}">
      <formula1>环境</formula1>
    </dataValidation>
    <dataValidation type="list" allowBlank="1" showInputMessage="1" showErrorMessage="1" sqref="C19 E19 G19 I19" xr:uid="{00000000-0002-0000-2900-00000F000000}">
      <formula1>基础设施水平</formula1>
    </dataValidation>
    <dataValidation type="list" allowBlank="1" showInputMessage="1" showErrorMessage="1" sqref="F1" xr:uid="{00000000-0002-0000-2900-000010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0"/>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ROUND(B3*D3/10000,0)</f>
        <v>#DIV/0!</v>
      </c>
      <c r="C2" s="2110"/>
      <c r="D2" s="2110"/>
      <c r="E2" s="2111"/>
      <c r="F2" s="2112"/>
      <c r="G2" s="2111"/>
      <c r="H2" s="2111"/>
      <c r="I2" s="2111"/>
      <c r="J2" s="2111"/>
      <c r="K2" s="2113"/>
      <c r="L2" s="2114"/>
      <c r="M2" s="2115"/>
      <c r="N2" s="2115"/>
      <c r="O2" s="2115"/>
      <c r="P2" s="1550"/>
      <c r="Q2" s="1550"/>
      <c r="R2" s="1550"/>
      <c r="S2" s="1550"/>
      <c r="T2" s="1550"/>
      <c r="U2" s="1550"/>
      <c r="V2" s="1550"/>
      <c r="W2" s="1550"/>
      <c r="X2" s="1550"/>
      <c r="Y2" s="1550"/>
      <c r="Z2" s="1550"/>
      <c r="AA2" s="1550"/>
      <c r="AB2" s="1550"/>
      <c r="AC2" s="1551"/>
    </row>
    <row r="3" spans="1:29" s="1332" customFormat="1" ht="28.5" customHeight="1" thickBot="1">
      <c r="A3" s="509" t="s">
        <v>795</v>
      </c>
      <c r="B3" s="510" t="e">
        <f>C37</f>
        <v>#DIV/0!</v>
      </c>
      <c r="C3" s="852" t="s">
        <v>796</v>
      </c>
      <c r="D3" s="851">
        <f>SUMIF('数据-汇总表'!$C19:$C33,D1,'数据-汇总表'!$E19:$E33)</f>
        <v>0</v>
      </c>
      <c r="E3" s="2111"/>
      <c r="F3" s="2112"/>
      <c r="G3" s="2111"/>
      <c r="H3" s="2111"/>
      <c r="I3" s="2111"/>
      <c r="J3" s="2111"/>
      <c r="K3" s="2113"/>
      <c r="L3" s="2114"/>
      <c r="M3" s="2115"/>
      <c r="N3" s="2115"/>
      <c r="O3" s="2115"/>
      <c r="P3" s="1550"/>
      <c r="Q3" s="1550"/>
      <c r="R3" s="1550"/>
      <c r="S3" s="1550"/>
      <c r="T3" s="1550"/>
      <c r="U3" s="1550"/>
      <c r="V3" s="1550"/>
      <c r="W3" s="1550"/>
      <c r="X3" s="1550"/>
      <c r="Y3" s="1550"/>
      <c r="Z3" s="1550"/>
      <c r="AA3" s="1550"/>
      <c r="AB3" s="1552"/>
      <c r="AC3" s="428"/>
    </row>
    <row r="4" spans="1:29" ht="14.4">
      <c r="A4" s="512" t="s">
        <v>797</v>
      </c>
      <c r="B4" s="513"/>
      <c r="C4" s="3516" t="s">
        <v>798</v>
      </c>
      <c r="D4" s="3517"/>
      <c r="E4" s="3540" t="s">
        <v>799</v>
      </c>
      <c r="F4" s="3541"/>
      <c r="G4" s="3516" t="s">
        <v>800</v>
      </c>
      <c r="H4" s="3517"/>
      <c r="I4" s="3516" t="s">
        <v>801</v>
      </c>
      <c r="J4" s="3517"/>
      <c r="K4" s="514" t="s">
        <v>802</v>
      </c>
      <c r="L4" s="2116"/>
      <c r="M4" s="2117"/>
      <c r="N4" s="2117"/>
      <c r="O4" s="2117"/>
      <c r="P4" s="3518" t="s">
        <v>803</v>
      </c>
      <c r="Q4" s="3519"/>
      <c r="R4" s="3504" t="s">
        <v>799</v>
      </c>
      <c r="S4" s="3505"/>
      <c r="T4" s="3504" t="s">
        <v>800</v>
      </c>
      <c r="U4" s="3505"/>
      <c r="V4" s="3524" t="s">
        <v>801</v>
      </c>
      <c r="W4" s="3524"/>
      <c r="X4" s="1553"/>
      <c r="Y4" s="3504" t="s">
        <v>803</v>
      </c>
      <c r="Z4" s="3505"/>
      <c r="AA4" s="3499" t="s">
        <v>799</v>
      </c>
      <c r="AB4" s="3500" t="s">
        <v>800</v>
      </c>
      <c r="AC4" s="3499" t="s">
        <v>801</v>
      </c>
    </row>
    <row r="5" spans="1:29">
      <c r="A5" s="515"/>
      <c r="B5" s="516"/>
      <c r="C5" s="3527" t="s">
        <v>2923</v>
      </c>
      <c r="D5" s="3528"/>
      <c r="E5" s="3542" t="s">
        <v>2924</v>
      </c>
      <c r="F5" s="3543"/>
      <c r="G5" s="3527" t="s">
        <v>2925</v>
      </c>
      <c r="H5" s="3528"/>
      <c r="I5" s="3527" t="s">
        <v>2926</v>
      </c>
      <c r="J5" s="3528"/>
      <c r="K5" s="514"/>
      <c r="L5" s="2116"/>
      <c r="M5" s="2117"/>
      <c r="N5" s="2117"/>
      <c r="O5" s="2117"/>
      <c r="P5" s="3520"/>
      <c r="Q5" s="3521"/>
      <c r="R5" s="3506"/>
      <c r="S5" s="3507"/>
      <c r="T5" s="3506"/>
      <c r="U5" s="3507"/>
      <c r="V5" s="3524"/>
      <c r="W5" s="3524"/>
      <c r="X5" s="1553"/>
      <c r="Y5" s="3506"/>
      <c r="Z5" s="3507"/>
      <c r="AA5" s="3500"/>
      <c r="AB5" s="3500"/>
      <c r="AC5" s="3500"/>
    </row>
    <row r="6" spans="1:29" ht="15" thickBot="1">
      <c r="A6" s="517"/>
      <c r="B6" s="518"/>
      <c r="C6" s="3525" t="s">
        <v>2927</v>
      </c>
      <c r="D6" s="3526"/>
      <c r="E6" s="3544" t="s">
        <v>2927</v>
      </c>
      <c r="F6" s="3545"/>
      <c r="G6" s="3525" t="s">
        <v>2927</v>
      </c>
      <c r="H6" s="3526"/>
      <c r="I6" s="3525" t="s">
        <v>2927</v>
      </c>
      <c r="J6" s="3526"/>
      <c r="K6" s="514" t="s">
        <v>528</v>
      </c>
      <c r="L6" s="2116"/>
      <c r="M6" s="2117"/>
      <c r="N6" s="2117"/>
      <c r="O6" s="2117"/>
      <c r="P6" s="3522"/>
      <c r="Q6" s="3523"/>
      <c r="R6" s="3506"/>
      <c r="S6" s="3507"/>
      <c r="T6" s="3508"/>
      <c r="U6" s="3509"/>
      <c r="V6" s="3524"/>
      <c r="W6" s="3524"/>
      <c r="X6" s="1553"/>
      <c r="Y6" s="3508"/>
      <c r="Z6" s="3509"/>
      <c r="AA6" s="3501"/>
      <c r="AB6" s="3501"/>
      <c r="AC6" s="3501"/>
    </row>
    <row r="7" spans="1:29" s="1216" customFormat="1" ht="15" thickBot="1">
      <c r="A7" s="2865"/>
      <c r="B7" s="2872" t="s">
        <v>529</v>
      </c>
      <c r="C7" s="519">
        <f>'数据-取费表'!B2</f>
        <v>43889</v>
      </c>
      <c r="D7" s="520">
        <v>100</v>
      </c>
      <c r="E7" s="521"/>
      <c r="F7" s="522">
        <f>SUMIF(46:46,YEAR(E7)&amp;"-"&amp;MONTH(E7),47:47)</f>
        <v>0</v>
      </c>
      <c r="G7" s="523"/>
      <c r="H7" s="520">
        <f>SUMIF(46:46,YEAR(G7)&amp;"-"&amp;MONTH(G7),47:47)</f>
        <v>0</v>
      </c>
      <c r="I7" s="523"/>
      <c r="J7" s="520">
        <f>SUMIF(46:46,YEAR(I7)&amp;"-"&amp;MONTH(I7),47:47)</f>
        <v>0</v>
      </c>
      <c r="K7" s="524"/>
      <c r="L7" s="2118"/>
      <c r="M7" s="2119"/>
      <c r="N7" s="2119"/>
      <c r="O7" s="2119"/>
      <c r="P7" s="3502" t="s">
        <v>530</v>
      </c>
      <c r="Q7" s="3511"/>
      <c r="R7" s="1554" t="s">
        <v>8</v>
      </c>
      <c r="S7" s="1555">
        <f t="shared" ref="S7:S14" si="0">F7</f>
        <v>0</v>
      </c>
      <c r="T7" s="1554" t="s">
        <v>8</v>
      </c>
      <c r="U7" s="1555">
        <f t="shared" ref="U7:U14" si="1">H7</f>
        <v>0</v>
      </c>
      <c r="V7" s="1554" t="s">
        <v>8</v>
      </c>
      <c r="W7" s="1555">
        <f t="shared" ref="W7:W14" si="2">J7</f>
        <v>0</v>
      </c>
      <c r="X7" s="1556"/>
      <c r="Y7" s="3502" t="s">
        <v>530</v>
      </c>
      <c r="Z7" s="3503"/>
      <c r="AA7" s="1557" t="e">
        <f>D7/F7</f>
        <v>#DIV/0!</v>
      </c>
      <c r="AB7" s="1557" t="e">
        <f>D7/H7</f>
        <v>#DIV/0!</v>
      </c>
      <c r="AC7" s="1557" t="e">
        <f>D7/J7</f>
        <v>#DIV/0!</v>
      </c>
    </row>
    <row r="8" spans="1:29" s="1216" customFormat="1" ht="15" thickBot="1">
      <c r="A8" s="2866"/>
      <c r="B8" s="2873" t="s">
        <v>531</v>
      </c>
      <c r="C8" s="525" t="s">
        <v>576</v>
      </c>
      <c r="D8" s="520">
        <v>100</v>
      </c>
      <c r="E8" s="525"/>
      <c r="F8" s="522">
        <f>SUMIF(49:49,E8,50:50)-SUMIF(49:49,C8,50:50)+100</f>
        <v>0</v>
      </c>
      <c r="G8" s="525"/>
      <c r="H8" s="520">
        <f>SUMIF(49:49,G8,50:50)-SUMIF(49:49,C8,50:50)+100</f>
        <v>0</v>
      </c>
      <c r="I8" s="525"/>
      <c r="J8" s="520">
        <f>SUMIF(49:49,I8,50:50)-SUMIF(49:49,C8,50:50)+100</f>
        <v>0</v>
      </c>
      <c r="K8" s="524"/>
      <c r="L8" s="2118"/>
      <c r="M8" s="2119"/>
      <c r="N8" s="2119"/>
      <c r="O8" s="2119"/>
      <c r="P8" s="3502" t="s">
        <v>533</v>
      </c>
      <c r="Q8" s="3503"/>
      <c r="R8" s="1554" t="s">
        <v>8</v>
      </c>
      <c r="S8" s="1555">
        <f t="shared" si="0"/>
        <v>0</v>
      </c>
      <c r="T8" s="1554" t="s">
        <v>8</v>
      </c>
      <c r="U8" s="1555">
        <f t="shared" si="1"/>
        <v>0</v>
      </c>
      <c r="V8" s="1554" t="s">
        <v>8</v>
      </c>
      <c r="W8" s="1555">
        <f t="shared" si="2"/>
        <v>0</v>
      </c>
      <c r="X8" s="1556"/>
      <c r="Y8" s="3502" t="s">
        <v>533</v>
      </c>
      <c r="Z8" s="3503"/>
      <c r="AA8" s="1557" t="e">
        <f t="shared" ref="AA8:AA34" si="3">D8/F8</f>
        <v>#DIV/0!</v>
      </c>
      <c r="AB8" s="1557" t="e">
        <f t="shared" ref="AB8:AB34" si="4">D8/H8</f>
        <v>#DIV/0!</v>
      </c>
      <c r="AC8" s="1557" t="e">
        <f t="shared" ref="AC8:AC34" si="5">D8/J8</f>
        <v>#DIV/0!</v>
      </c>
    </row>
    <row r="9" spans="1:29" s="1216" customFormat="1" ht="14.4">
      <c r="A9" s="2867"/>
      <c r="B9" s="2874" t="s">
        <v>2752</v>
      </c>
      <c r="C9" s="857"/>
      <c r="D9" s="254">
        <v>100</v>
      </c>
      <c r="E9" s="860"/>
      <c r="F9" s="254">
        <f>SUMIF(51:51,E9,52:52)-SUMIF(51:51,C9,52:52)+100</f>
        <v>100</v>
      </c>
      <c r="G9" s="860"/>
      <c r="H9" s="254">
        <f>SUMIF(51:51,G9,52:52)-SUMIF(51:51,C9,52:52)+100</f>
        <v>100</v>
      </c>
      <c r="I9" s="860"/>
      <c r="J9" s="254">
        <f>SUMIF(51:51,I9,52:52)-SUMIF(51:51,C9,52:52)+100</f>
        <v>100</v>
      </c>
      <c r="K9" s="524"/>
      <c r="L9" s="2118"/>
      <c r="M9" s="2119"/>
      <c r="N9" s="2119"/>
      <c r="O9" s="2120"/>
      <c r="P9" s="3510" t="s">
        <v>535</v>
      </c>
      <c r="Q9" s="1147" t="str">
        <f t="shared" ref="Q9:Q14" si="6">B9</f>
        <v>用途</v>
      </c>
      <c r="R9" s="1554" t="s">
        <v>8</v>
      </c>
      <c r="S9" s="1555">
        <f t="shared" si="0"/>
        <v>100</v>
      </c>
      <c r="T9" s="1554" t="s">
        <v>8</v>
      </c>
      <c r="U9" s="1555">
        <f t="shared" si="1"/>
        <v>100</v>
      </c>
      <c r="V9" s="1554" t="s">
        <v>8</v>
      </c>
      <c r="W9" s="1555">
        <f t="shared" si="2"/>
        <v>100</v>
      </c>
      <c r="X9" s="1556"/>
      <c r="Y9" s="3467" t="s">
        <v>536</v>
      </c>
      <c r="Z9" s="1146" t="str">
        <f t="shared" ref="Z9:Z14" si="7">Q9</f>
        <v>用途</v>
      </c>
      <c r="AA9" s="1557">
        <f t="shared" si="3"/>
        <v>1</v>
      </c>
      <c r="AB9" s="1557">
        <f t="shared" si="4"/>
        <v>1</v>
      </c>
      <c r="AC9" s="1557">
        <f t="shared" si="5"/>
        <v>1</v>
      </c>
    </row>
    <row r="10" spans="1:29" s="1334" customFormat="1" ht="28.8">
      <c r="A10" s="2868"/>
      <c r="B10" s="2873" t="s">
        <v>2753</v>
      </c>
      <c r="C10" s="861"/>
      <c r="D10" s="255">
        <v>100</v>
      </c>
      <c r="E10" s="861"/>
      <c r="F10" s="255">
        <f>SUMIF(53:53,E10,54:54)-SUMIF(53:53,C10,54:54)+100</f>
        <v>100</v>
      </c>
      <c r="G10" s="862"/>
      <c r="H10" s="255">
        <f>SUMIF(53:53,G10,54:54)-SUMIF(53:53,C10,54:54)+100</f>
        <v>100</v>
      </c>
      <c r="I10" s="861"/>
      <c r="J10" s="255">
        <f>SUMIF(53:53,I10,54:54)-SUMIF(53:53,C10,54:54)+100</f>
        <v>100</v>
      </c>
      <c r="K10" s="584"/>
      <c r="L10" s="2121"/>
      <c r="M10" s="2161"/>
      <c r="N10" s="2161"/>
      <c r="O10" s="2122"/>
      <c r="P10" s="3510"/>
      <c r="Q10" s="1147" t="str">
        <f t="shared" si="6"/>
        <v>土地使用年限（年）</v>
      </c>
      <c r="R10" s="1554" t="s">
        <v>8</v>
      </c>
      <c r="S10" s="1555">
        <f t="shared" si="0"/>
        <v>100</v>
      </c>
      <c r="T10" s="1554" t="s">
        <v>8</v>
      </c>
      <c r="U10" s="1555">
        <f t="shared" si="1"/>
        <v>100</v>
      </c>
      <c r="V10" s="1554" t="s">
        <v>8</v>
      </c>
      <c r="W10" s="1555">
        <f t="shared" si="2"/>
        <v>100</v>
      </c>
      <c r="X10" s="1556"/>
      <c r="Y10" s="3467"/>
      <c r="Z10" s="1146" t="str">
        <f t="shared" si="7"/>
        <v>土地使用年限（年）</v>
      </c>
      <c r="AA10" s="1557">
        <f t="shared" si="3"/>
        <v>1</v>
      </c>
      <c r="AB10" s="1557">
        <f t="shared" si="4"/>
        <v>1</v>
      </c>
      <c r="AC10" s="1557">
        <f t="shared" si="5"/>
        <v>1</v>
      </c>
    </row>
    <row r="11" spans="1:29" ht="15">
      <c r="A11" s="2870"/>
      <c r="B11" s="2876">
        <v>111</v>
      </c>
      <c r="C11" s="528"/>
      <c r="D11" s="255">
        <v>100</v>
      </c>
      <c r="E11" s="880"/>
      <c r="F11" s="255">
        <f>SUMIF(55:55,E11,56:56)-SUMIF(55:55,C11,56:56)+100</f>
        <v>100</v>
      </c>
      <c r="G11" s="880"/>
      <c r="H11" s="255">
        <f>SUMIF(55:55,G11,56:56)-SUMIF(55:55,C11,56:56)+100</f>
        <v>100</v>
      </c>
      <c r="I11" s="880"/>
      <c r="J11" s="255">
        <f>SUMIF(55:55,I11,56:56)-SUMIF(55:55,C11,56:56)+100</f>
        <v>100</v>
      </c>
      <c r="K11" s="581"/>
      <c r="L11" s="2123"/>
      <c r="M11" s="2117"/>
      <c r="N11" s="2117"/>
      <c r="O11" s="2124"/>
      <c r="P11" s="3510"/>
      <c r="Q11" s="1147">
        <f t="shared" si="6"/>
        <v>111</v>
      </c>
      <c r="R11" s="1554" t="s">
        <v>8</v>
      </c>
      <c r="S11" s="1555">
        <f t="shared" si="0"/>
        <v>100</v>
      </c>
      <c r="T11" s="1554" t="s">
        <v>8</v>
      </c>
      <c r="U11" s="1555">
        <f t="shared" si="1"/>
        <v>100</v>
      </c>
      <c r="V11" s="1554" t="s">
        <v>8</v>
      </c>
      <c r="W11" s="1555">
        <f t="shared" si="2"/>
        <v>100</v>
      </c>
      <c r="X11" s="1556"/>
      <c r="Y11" s="3467"/>
      <c r="Z11" s="1146">
        <f t="shared" si="7"/>
        <v>111</v>
      </c>
      <c r="AA11" s="1557">
        <f t="shared" si="3"/>
        <v>1</v>
      </c>
      <c r="AB11" s="1557">
        <f t="shared" si="4"/>
        <v>1</v>
      </c>
      <c r="AC11" s="1557">
        <f t="shared" si="5"/>
        <v>1</v>
      </c>
    </row>
    <row r="12" spans="1:29" s="1216" customFormat="1" ht="15">
      <c r="A12" s="2870"/>
      <c r="B12" s="2876">
        <v>111</v>
      </c>
      <c r="C12" s="528"/>
      <c r="D12" s="538">
        <v>100</v>
      </c>
      <c r="E12" s="880"/>
      <c r="F12" s="255">
        <f>SUMIF(57:57,E12,58:58)-SUMIF(57:57,C12,58:58)+100</f>
        <v>100</v>
      </c>
      <c r="G12" s="880"/>
      <c r="H12" s="255">
        <f>SUMIF(57:57,G12,58:58)-SUMIF(57:57,C12,58:58)+100</f>
        <v>100</v>
      </c>
      <c r="I12" s="880"/>
      <c r="J12" s="255">
        <f>SUMIF(57:57,I12,58:58)-SUMIF(57:57,C12,58:58)+100</f>
        <v>100</v>
      </c>
      <c r="K12" s="581"/>
      <c r="L12" s="2118"/>
      <c r="M12" s="2119"/>
      <c r="N12" s="2119"/>
      <c r="O12" s="2120"/>
      <c r="P12" s="3510"/>
      <c r="Q12" s="1147">
        <f t="shared" si="6"/>
        <v>111</v>
      </c>
      <c r="R12" s="1554" t="s">
        <v>8</v>
      </c>
      <c r="S12" s="1555">
        <f t="shared" si="0"/>
        <v>100</v>
      </c>
      <c r="T12" s="1554" t="s">
        <v>8</v>
      </c>
      <c r="U12" s="1555">
        <f t="shared" si="1"/>
        <v>100</v>
      </c>
      <c r="V12" s="1554" t="s">
        <v>8</v>
      </c>
      <c r="W12" s="1555">
        <f t="shared" si="2"/>
        <v>100</v>
      </c>
      <c r="X12" s="1556"/>
      <c r="Y12" s="3467"/>
      <c r="Z12" s="1146">
        <f t="shared" si="7"/>
        <v>111</v>
      </c>
      <c r="AA12" s="1557">
        <f>D12/F12</f>
        <v>1</v>
      </c>
      <c r="AB12" s="1557">
        <f>D12/H12</f>
        <v>1</v>
      </c>
      <c r="AC12" s="1557">
        <f>D12/J12</f>
        <v>1</v>
      </c>
    </row>
    <row r="13" spans="1:29" ht="15.6" thickBot="1">
      <c r="A13" s="2871"/>
      <c r="B13" s="2877">
        <v>111</v>
      </c>
      <c r="C13" s="539"/>
      <c r="D13" s="540">
        <v>100</v>
      </c>
      <c r="E13" s="880"/>
      <c r="F13" s="255">
        <f>SUMIF(59:59,E13,60:60)-SUMIF(59:59,C13,60:60)+100</f>
        <v>100</v>
      </c>
      <c r="G13" s="880"/>
      <c r="H13" s="540">
        <f>SUMIF(59:59,G13,60:60)-SUMIF(59:59,C13,60:60)+100</f>
        <v>100</v>
      </c>
      <c r="I13" s="880"/>
      <c r="J13" s="540">
        <f>SUMIF(59:59,I13,60:60)-SUMIF(59:59,C13,60:60)+100</f>
        <v>100</v>
      </c>
      <c r="K13" s="581"/>
      <c r="L13" s="2125"/>
      <c r="M13" s="2117"/>
      <c r="N13" s="2117"/>
      <c r="O13" s="2124"/>
      <c r="P13" s="3510"/>
      <c r="Q13" s="1147">
        <f t="shared" si="6"/>
        <v>111</v>
      </c>
      <c r="R13" s="1554" t="s">
        <v>8</v>
      </c>
      <c r="S13" s="1555">
        <f t="shared" si="0"/>
        <v>100</v>
      </c>
      <c r="T13" s="1554" t="s">
        <v>8</v>
      </c>
      <c r="U13" s="1555">
        <f t="shared" si="1"/>
        <v>100</v>
      </c>
      <c r="V13" s="1554" t="s">
        <v>8</v>
      </c>
      <c r="W13" s="1555">
        <f t="shared" si="2"/>
        <v>100</v>
      </c>
      <c r="X13" s="1556"/>
      <c r="Y13" s="3467"/>
      <c r="Z13" s="1146">
        <f t="shared" si="7"/>
        <v>111</v>
      </c>
      <c r="AA13" s="1557">
        <f t="shared" si="3"/>
        <v>1</v>
      </c>
      <c r="AB13" s="1557">
        <f t="shared" si="4"/>
        <v>1</v>
      </c>
      <c r="AC13" s="1557">
        <f t="shared" si="5"/>
        <v>1</v>
      </c>
    </row>
    <row r="14" spans="1:29" ht="15">
      <c r="A14" s="2863" t="s">
        <v>2750</v>
      </c>
      <c r="B14" s="166" t="s">
        <v>543</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25"/>
      <c r="M14" s="2117"/>
      <c r="N14" s="2117"/>
      <c r="O14" s="2124"/>
      <c r="P14" s="3512" t="s">
        <v>540</v>
      </c>
      <c r="Q14" s="1558" t="str">
        <f t="shared" si="6"/>
        <v>交通便捷度</v>
      </c>
      <c r="R14" s="1559" t="s">
        <v>8</v>
      </c>
      <c r="S14" s="1560">
        <f t="shared" si="0"/>
        <v>100</v>
      </c>
      <c r="T14" s="1559" t="s">
        <v>8</v>
      </c>
      <c r="U14" s="1560">
        <f t="shared" si="1"/>
        <v>100</v>
      </c>
      <c r="V14" s="1559" t="s">
        <v>8</v>
      </c>
      <c r="W14" s="1560">
        <f t="shared" si="2"/>
        <v>100</v>
      </c>
      <c r="X14" s="1553"/>
      <c r="Y14" s="3512" t="s">
        <v>540</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5"/>
      <c r="M15" s="2117"/>
      <c r="N15" s="2117"/>
      <c r="O15" s="2124"/>
      <c r="P15" s="3513"/>
      <c r="Q15" s="1558"/>
      <c r="R15" s="1559"/>
      <c r="S15" s="1560"/>
      <c r="T15" s="1559"/>
      <c r="U15" s="1560"/>
      <c r="V15" s="1559"/>
      <c r="W15" s="1560"/>
      <c r="X15" s="1553"/>
      <c r="Y15" s="3513"/>
      <c r="Z15" s="1561"/>
      <c r="AA15" s="1562">
        <v>1</v>
      </c>
      <c r="AB15" s="1562">
        <v>1</v>
      </c>
      <c r="AC15" s="1562">
        <v>1</v>
      </c>
    </row>
    <row r="16" spans="1:29" ht="15">
      <c r="A16" s="532"/>
      <c r="B16" s="2565" t="s">
        <v>2543</v>
      </c>
      <c r="C16" s="872" t="str">
        <f>IF(B1="工业",估价对象房地状况!G5,估价对象房地状况!C7)</f>
        <v>一般</v>
      </c>
      <c r="D16" s="565">
        <v>100</v>
      </c>
      <c r="E16" s="570"/>
      <c r="F16" s="571">
        <f>SUMIF(63:63,E17,64:64)-SUMIF(63:63,C17,64:64)+100</f>
        <v>100</v>
      </c>
      <c r="G16" s="572"/>
      <c r="H16" s="565">
        <f>SUMIF(63:63,G17,64:64)-SUMIF(63:63,C17,64:64)+100</f>
        <v>100</v>
      </c>
      <c r="I16" s="570"/>
      <c r="J16" s="565">
        <f>SUMIF(63:63,I17,64:64)-SUMIF(63:63,C17,64:64)+100</f>
        <v>100</v>
      </c>
      <c r="K16" s="898"/>
      <c r="L16" s="2125"/>
      <c r="M16" s="2117"/>
      <c r="N16" s="2117"/>
      <c r="O16" s="2124"/>
      <c r="P16" s="3513"/>
      <c r="Q16" s="1558" t="str">
        <f>B16</f>
        <v>公共配套设施</v>
      </c>
      <c r="R16" s="1559" t="s">
        <v>8</v>
      </c>
      <c r="S16" s="1560">
        <f>F16</f>
        <v>100</v>
      </c>
      <c r="T16" s="1559" t="s">
        <v>8</v>
      </c>
      <c r="U16" s="1560">
        <f>H16</f>
        <v>100</v>
      </c>
      <c r="V16" s="1559" t="s">
        <v>8</v>
      </c>
      <c r="W16" s="1560">
        <f>J16</f>
        <v>100</v>
      </c>
      <c r="X16" s="1553"/>
      <c r="Y16" s="3513"/>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5"/>
      <c r="M17" s="2117"/>
      <c r="N17" s="2117"/>
      <c r="O17" s="2124"/>
      <c r="P17" s="3513"/>
      <c r="Q17" s="1558"/>
      <c r="R17" s="1559"/>
      <c r="S17" s="1560"/>
      <c r="T17" s="1559"/>
      <c r="U17" s="1560"/>
      <c r="V17" s="1559"/>
      <c r="W17" s="1560"/>
      <c r="X17" s="1553"/>
      <c r="Y17" s="3513"/>
      <c r="Z17" s="1561"/>
      <c r="AA17" s="1562">
        <v>1</v>
      </c>
      <c r="AB17" s="1562">
        <v>1</v>
      </c>
      <c r="AC17" s="1562">
        <v>1</v>
      </c>
    </row>
    <row r="18" spans="1:29" ht="15">
      <c r="A18" s="532"/>
      <c r="B18" s="2553" t="s">
        <v>2555</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25"/>
      <c r="M18" s="2117"/>
      <c r="N18" s="2117"/>
      <c r="O18" s="2124"/>
      <c r="P18" s="3513"/>
      <c r="Q18" s="2541" t="str">
        <f>B18</f>
        <v>基础设施水平</v>
      </c>
      <c r="R18" s="1559" t="s">
        <v>8</v>
      </c>
      <c r="S18" s="1560">
        <f>F18</f>
        <v>100</v>
      </c>
      <c r="T18" s="1559" t="s">
        <v>8</v>
      </c>
      <c r="U18" s="1560">
        <f>H18</f>
        <v>100</v>
      </c>
      <c r="V18" s="1559" t="s">
        <v>8</v>
      </c>
      <c r="W18" s="1560">
        <f>J18</f>
        <v>100</v>
      </c>
      <c r="X18" s="2543"/>
      <c r="Y18" s="3513"/>
      <c r="Z18" s="2542"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4"/>
      <c r="L19" s="2125"/>
      <c r="M19" s="2117"/>
      <c r="N19" s="2117"/>
      <c r="O19" s="2124"/>
      <c r="P19" s="3513"/>
      <c r="Q19" s="2541"/>
      <c r="R19" s="1559"/>
      <c r="S19" s="1560"/>
      <c r="T19" s="1559"/>
      <c r="U19" s="1560"/>
      <c r="V19" s="1559"/>
      <c r="W19" s="1560"/>
      <c r="X19" s="2543"/>
      <c r="Y19" s="3513"/>
      <c r="Z19" s="2542"/>
      <c r="AA19" s="1562">
        <v>1</v>
      </c>
      <c r="AB19" s="1562">
        <v>1</v>
      </c>
      <c r="AC19" s="1562">
        <v>1</v>
      </c>
    </row>
    <row r="20" spans="1:29" ht="15">
      <c r="A20" s="532"/>
      <c r="B20" s="871" t="s">
        <v>804</v>
      </c>
      <c r="C20" s="872" t="str">
        <f>IF(B1="工业",估价对象房地状况!G7,估价对象房地状况!C9)</f>
        <v>一般</v>
      </c>
      <c r="D20" s="565">
        <v>100</v>
      </c>
      <c r="E20" s="570"/>
      <c r="F20" s="571">
        <f>SUMIF(67:67,E21,68:68)-SUMIF(67:67,C21,68:68)+100</f>
        <v>100</v>
      </c>
      <c r="G20" s="572"/>
      <c r="H20" s="559">
        <f>SUMIF(67:67,G21,68:68)-SUMIF(67:67,C21,68:68)+100</f>
        <v>100</v>
      </c>
      <c r="I20" s="562"/>
      <c r="J20" s="559">
        <f>SUMIF(67:67,I21,68:68)-SUMIF(67:67,C21,68:68)+100</f>
        <v>100</v>
      </c>
      <c r="K20" s="898"/>
      <c r="L20" s="2125"/>
      <c r="M20" s="2117"/>
      <c r="N20" s="2117"/>
      <c r="O20" s="2124"/>
      <c r="P20" s="3513"/>
      <c r="Q20" s="1558" t="str">
        <f>B20</f>
        <v>自然及人文环境</v>
      </c>
      <c r="R20" s="1559" t="s">
        <v>8</v>
      </c>
      <c r="S20" s="1560">
        <f>F20</f>
        <v>100</v>
      </c>
      <c r="T20" s="1559" t="s">
        <v>8</v>
      </c>
      <c r="U20" s="1560">
        <f>H20</f>
        <v>100</v>
      </c>
      <c r="V20" s="1559" t="s">
        <v>8</v>
      </c>
      <c r="W20" s="1560">
        <f>J20</f>
        <v>100</v>
      </c>
      <c r="X20" s="1553"/>
      <c r="Y20" s="3513"/>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5"/>
      <c r="M21" s="2117"/>
      <c r="N21" s="2117"/>
      <c r="O21" s="2124"/>
      <c r="P21" s="3513"/>
      <c r="Q21" s="1558"/>
      <c r="R21" s="1559"/>
      <c r="S21" s="1560"/>
      <c r="T21" s="1559"/>
      <c r="U21" s="1560"/>
      <c r="V21" s="1559"/>
      <c r="W21" s="1560"/>
      <c r="X21" s="1553"/>
      <c r="Y21" s="3513"/>
      <c r="Z21" s="1561"/>
      <c r="AA21" s="1562">
        <v>1</v>
      </c>
      <c r="AB21" s="1562">
        <v>1</v>
      </c>
      <c r="AC21" s="156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5"/>
      <c r="M22" s="2117"/>
      <c r="N22" s="2117"/>
      <c r="O22" s="2124"/>
      <c r="P22" s="3513"/>
      <c r="Q22" s="1558" t="str">
        <f>B22</f>
        <v>楼层</v>
      </c>
      <c r="R22" s="1559" t="s">
        <v>8</v>
      </c>
      <c r="S22" s="1560">
        <f>F22</f>
        <v>100</v>
      </c>
      <c r="T22" s="1559" t="s">
        <v>8</v>
      </c>
      <c r="U22" s="1560">
        <f>H22</f>
        <v>100</v>
      </c>
      <c r="V22" s="1559" t="s">
        <v>8</v>
      </c>
      <c r="W22" s="1560">
        <f>J22</f>
        <v>100</v>
      </c>
      <c r="X22" s="1553"/>
      <c r="Y22" s="3513"/>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5"/>
      <c r="M23" s="2117"/>
      <c r="N23" s="2117"/>
      <c r="O23" s="2124"/>
      <c r="P23" s="3513"/>
      <c r="Q23" s="1558">
        <f>B23</f>
        <v>111</v>
      </c>
      <c r="R23" s="1559" t="s">
        <v>8</v>
      </c>
      <c r="S23" s="1560">
        <f>F23</f>
        <v>100</v>
      </c>
      <c r="T23" s="1559" t="s">
        <v>8</v>
      </c>
      <c r="U23" s="1560">
        <f>H23</f>
        <v>100</v>
      </c>
      <c r="V23" s="1559" t="s">
        <v>8</v>
      </c>
      <c r="W23" s="1560">
        <f>J23</f>
        <v>100</v>
      </c>
      <c r="X23" s="1553"/>
      <c r="Y23" s="3513"/>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5"/>
      <c r="M24" s="2117"/>
      <c r="N24" s="2117"/>
      <c r="O24" s="2124"/>
      <c r="P24" s="3513"/>
      <c r="Q24" s="1558">
        <f t="shared" ref="Q24:Q34" si="11">B24</f>
        <v>111</v>
      </c>
      <c r="R24" s="1559" t="s">
        <v>8</v>
      </c>
      <c r="S24" s="1560">
        <f>F24</f>
        <v>100</v>
      </c>
      <c r="T24" s="1559" t="s">
        <v>8</v>
      </c>
      <c r="U24" s="1560">
        <f>H24</f>
        <v>100</v>
      </c>
      <c r="V24" s="1559" t="s">
        <v>8</v>
      </c>
      <c r="W24" s="1560">
        <f>J24</f>
        <v>100</v>
      </c>
      <c r="X24" s="1553"/>
      <c r="Y24" s="3513"/>
      <c r="Z24" s="1561">
        <f>Q24</f>
        <v>111</v>
      </c>
      <c r="AA24" s="1562">
        <f t="shared" si="3"/>
        <v>1</v>
      </c>
      <c r="AB24" s="1562">
        <f t="shared" si="4"/>
        <v>1</v>
      </c>
      <c r="AC24" s="1562">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18"/>
      <c r="M25" s="2119"/>
      <c r="N25" s="2119"/>
      <c r="O25" s="2120"/>
      <c r="P25" s="3513"/>
      <c r="Q25" s="1147">
        <f t="shared" si="11"/>
        <v>111</v>
      </c>
      <c r="R25" s="1554" t="s">
        <v>8</v>
      </c>
      <c r="S25" s="1555">
        <f>F25</f>
        <v>100</v>
      </c>
      <c r="T25" s="1554" t="s">
        <v>8</v>
      </c>
      <c r="U25" s="1555">
        <f>H25</f>
        <v>100</v>
      </c>
      <c r="V25" s="1554" t="s">
        <v>8</v>
      </c>
      <c r="W25" s="1555">
        <f>J25</f>
        <v>100</v>
      </c>
      <c r="X25" s="1556"/>
      <c r="Y25" s="3513"/>
      <c r="Z25" s="1146">
        <f>Q25</f>
        <v>111</v>
      </c>
      <c r="AA25" s="1562">
        <f>D25/F25</f>
        <v>1</v>
      </c>
      <c r="AB25" s="1562">
        <f>D25/H25</f>
        <v>1</v>
      </c>
      <c r="AC25" s="1562">
        <f>D25/J25</f>
        <v>1</v>
      </c>
    </row>
    <row r="26" spans="1:29" ht="15">
      <c r="A26" s="2860" t="s">
        <v>2751</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5"/>
      <c r="M26" s="2117"/>
      <c r="N26" s="2117"/>
      <c r="O26" s="2124"/>
      <c r="P26" s="3514" t="s">
        <v>821</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515" t="s">
        <v>821</v>
      </c>
      <c r="Z26" s="1561" t="str">
        <f t="shared" ref="Z26:Z34" si="15">Q26</f>
        <v>公共部分装修</v>
      </c>
      <c r="AA26" s="1562">
        <f t="shared" si="3"/>
        <v>1</v>
      </c>
      <c r="AB26" s="1562">
        <f t="shared" si="4"/>
        <v>1</v>
      </c>
      <c r="AC26" s="1562">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3"/>
      <c r="M27" s="2154"/>
      <c r="N27" s="2154"/>
      <c r="O27" s="2126"/>
      <c r="P27" s="3515"/>
      <c r="Q27" s="1590" t="str">
        <f t="shared" si="11"/>
        <v>成新率</v>
      </c>
      <c r="R27" s="1563" t="s">
        <v>8</v>
      </c>
      <c r="S27" s="1564" t="e">
        <f t="shared" si="12"/>
        <v>#N/A</v>
      </c>
      <c r="T27" s="1563" t="s">
        <v>8</v>
      </c>
      <c r="U27" s="1564" t="e">
        <f t="shared" si="13"/>
        <v>#N/A</v>
      </c>
      <c r="V27" s="1563" t="s">
        <v>8</v>
      </c>
      <c r="W27" s="1564" t="e">
        <f t="shared" si="14"/>
        <v>#N/A</v>
      </c>
      <c r="X27" s="1565"/>
      <c r="Y27" s="3515"/>
      <c r="Z27" s="1566" t="str">
        <f t="shared" si="15"/>
        <v>成新率</v>
      </c>
      <c r="AA27" s="1562" t="e">
        <f t="shared" si="3"/>
        <v>#N/A</v>
      </c>
      <c r="AB27" s="1562" t="e">
        <f t="shared" si="4"/>
        <v>#N/A</v>
      </c>
      <c r="AC27" s="156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5"/>
      <c r="M28" s="2117"/>
      <c r="N28" s="2117"/>
      <c r="O28" s="2124"/>
      <c r="P28" s="3515"/>
      <c r="Q28" s="1558" t="str">
        <f t="shared" si="11"/>
        <v>物业等级</v>
      </c>
      <c r="R28" s="1559" t="s">
        <v>8</v>
      </c>
      <c r="S28" s="1560">
        <f t="shared" si="12"/>
        <v>100</v>
      </c>
      <c r="T28" s="1559" t="s">
        <v>8</v>
      </c>
      <c r="U28" s="1560">
        <f t="shared" si="13"/>
        <v>100</v>
      </c>
      <c r="V28" s="1559" t="s">
        <v>8</v>
      </c>
      <c r="W28" s="1560">
        <f t="shared" si="14"/>
        <v>100</v>
      </c>
      <c r="X28" s="1553"/>
      <c r="Y28" s="3515"/>
      <c r="Z28" s="1561" t="str">
        <f t="shared" si="15"/>
        <v>物业等级</v>
      </c>
      <c r="AA28" s="1562">
        <f t="shared" si="3"/>
        <v>1</v>
      </c>
      <c r="AB28" s="1562">
        <f t="shared" si="4"/>
        <v>1</v>
      </c>
      <c r="AC28" s="1562">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5"/>
      <c r="M29" s="2117"/>
      <c r="N29" s="2117"/>
      <c r="O29" s="2124"/>
      <c r="P29" s="3515"/>
      <c r="Q29" s="1558" t="str">
        <f t="shared" si="11"/>
        <v>有无电梯</v>
      </c>
      <c r="R29" s="1559" t="s">
        <v>8</v>
      </c>
      <c r="S29" s="1560">
        <f t="shared" si="12"/>
        <v>100</v>
      </c>
      <c r="T29" s="1559" t="s">
        <v>8</v>
      </c>
      <c r="U29" s="1560">
        <f t="shared" si="13"/>
        <v>100</v>
      </c>
      <c r="V29" s="1559" t="s">
        <v>8</v>
      </c>
      <c r="W29" s="1560">
        <f t="shared" si="14"/>
        <v>100</v>
      </c>
      <c r="X29" s="1553"/>
      <c r="Y29" s="3515"/>
      <c r="Z29" s="1561" t="str">
        <f t="shared" si="15"/>
        <v>有无电梯</v>
      </c>
      <c r="AA29" s="1562">
        <f t="shared" si="3"/>
        <v>1</v>
      </c>
      <c r="AB29" s="1562">
        <f t="shared" si="4"/>
        <v>1</v>
      </c>
      <c r="AC29" s="1562">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5"/>
      <c r="M30" s="2117"/>
      <c r="N30" s="2117"/>
      <c r="O30" s="2124"/>
      <c r="P30" s="3515"/>
      <c r="Q30" s="1558" t="str">
        <f t="shared" si="11"/>
        <v>建筑面积</v>
      </c>
      <c r="R30" s="1559" t="s">
        <v>8</v>
      </c>
      <c r="S30" s="1560" t="e">
        <f t="shared" si="12"/>
        <v>#N/A</v>
      </c>
      <c r="T30" s="1559" t="s">
        <v>8</v>
      </c>
      <c r="U30" s="1560" t="e">
        <f t="shared" si="13"/>
        <v>#N/A</v>
      </c>
      <c r="V30" s="1559" t="s">
        <v>8</v>
      </c>
      <c r="W30" s="1560" t="e">
        <f t="shared" si="14"/>
        <v>#N/A</v>
      </c>
      <c r="X30" s="1553"/>
      <c r="Y30" s="3515"/>
      <c r="Z30" s="1561" t="str">
        <f t="shared" si="15"/>
        <v>建筑面积</v>
      </c>
      <c r="AA30" s="1562" t="e">
        <f t="shared" si="3"/>
        <v>#N/A</v>
      </c>
      <c r="AB30" s="1562" t="e">
        <f t="shared" si="4"/>
        <v>#N/A</v>
      </c>
      <c r="AC30" s="1562"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18"/>
      <c r="M31" s="2119"/>
      <c r="N31" s="2119"/>
      <c r="O31" s="2120"/>
      <c r="P31" s="3515"/>
      <c r="Q31" s="1147" t="str">
        <f t="shared" si="11"/>
        <v>是否封闭</v>
      </c>
      <c r="R31" s="1554" t="s">
        <v>8</v>
      </c>
      <c r="S31" s="1555">
        <f t="shared" si="12"/>
        <v>100</v>
      </c>
      <c r="T31" s="1554" t="s">
        <v>8</v>
      </c>
      <c r="U31" s="1555">
        <f t="shared" si="13"/>
        <v>100</v>
      </c>
      <c r="V31" s="1554" t="s">
        <v>8</v>
      </c>
      <c r="W31" s="1555">
        <f t="shared" si="14"/>
        <v>100</v>
      </c>
      <c r="X31" s="1556"/>
      <c r="Y31" s="3515"/>
      <c r="Z31" s="1146"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5"/>
      <c r="M32" s="2117"/>
      <c r="N32" s="2117"/>
      <c r="O32" s="2124"/>
      <c r="P32" s="3515" t="s">
        <v>550</v>
      </c>
      <c r="Q32" s="1558">
        <f t="shared" si="11"/>
        <v>111</v>
      </c>
      <c r="R32" s="1559" t="s">
        <v>8</v>
      </c>
      <c r="S32" s="1560">
        <f t="shared" si="12"/>
        <v>100</v>
      </c>
      <c r="T32" s="1559" t="s">
        <v>8</v>
      </c>
      <c r="U32" s="1560">
        <f t="shared" si="13"/>
        <v>100</v>
      </c>
      <c r="V32" s="1559" t="s">
        <v>8</v>
      </c>
      <c r="W32" s="1560">
        <f t="shared" si="14"/>
        <v>100</v>
      </c>
      <c r="X32" s="1553"/>
      <c r="Y32" s="3515" t="s">
        <v>550</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5"/>
      <c r="M33" s="2117"/>
      <c r="N33" s="2117"/>
      <c r="O33" s="2124"/>
      <c r="P33" s="3515"/>
      <c r="Q33" s="1558">
        <f t="shared" si="11"/>
        <v>111</v>
      </c>
      <c r="R33" s="1559" t="s">
        <v>8</v>
      </c>
      <c r="S33" s="1560">
        <f t="shared" si="12"/>
        <v>100</v>
      </c>
      <c r="T33" s="1559" t="s">
        <v>8</v>
      </c>
      <c r="U33" s="1560">
        <f t="shared" si="13"/>
        <v>100</v>
      </c>
      <c r="V33" s="1559" t="s">
        <v>8</v>
      </c>
      <c r="W33" s="1560">
        <f t="shared" si="14"/>
        <v>100</v>
      </c>
      <c r="X33" s="1553"/>
      <c r="Y33" s="3515"/>
      <c r="Z33" s="1561">
        <f t="shared" si="15"/>
        <v>111</v>
      </c>
      <c r="AA33" s="1562">
        <f t="shared" si="3"/>
        <v>1</v>
      </c>
      <c r="AB33" s="1562">
        <f t="shared" si="4"/>
        <v>1</v>
      </c>
      <c r="AC33" s="1562">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5"/>
      <c r="M34" s="2117"/>
      <c r="N34" s="2117"/>
      <c r="O34" s="2124"/>
      <c r="P34" s="3515"/>
      <c r="Q34" s="1558">
        <f t="shared" si="11"/>
        <v>111</v>
      </c>
      <c r="R34" s="1559" t="s">
        <v>8</v>
      </c>
      <c r="S34" s="1560">
        <f t="shared" si="12"/>
        <v>100</v>
      </c>
      <c r="T34" s="1559" t="s">
        <v>8</v>
      </c>
      <c r="U34" s="1560">
        <f t="shared" si="13"/>
        <v>100</v>
      </c>
      <c r="V34" s="1559" t="s">
        <v>8</v>
      </c>
      <c r="W34" s="1560">
        <f t="shared" si="14"/>
        <v>100</v>
      </c>
      <c r="X34" s="1553"/>
      <c r="Y34" s="3515"/>
      <c r="Z34" s="1561">
        <f t="shared" si="15"/>
        <v>111</v>
      </c>
      <c r="AA34" s="1562">
        <f t="shared" si="3"/>
        <v>1</v>
      </c>
      <c r="AB34" s="1562">
        <f t="shared" si="4"/>
        <v>1</v>
      </c>
      <c r="AC34" s="1562">
        <f t="shared" si="5"/>
        <v>1</v>
      </c>
    </row>
    <row r="35" spans="1:29" ht="14.4">
      <c r="A35" s="607" t="s">
        <v>736</v>
      </c>
      <c r="B35" s="887"/>
      <c r="C35" s="2589" t="s">
        <v>1</v>
      </c>
      <c r="D35" s="2590"/>
      <c r="E35" s="2591"/>
      <c r="F35" s="2592"/>
      <c r="G35" s="2593"/>
      <c r="H35" s="2594"/>
      <c r="I35" s="2591"/>
      <c r="J35" s="2594"/>
      <c r="K35" s="1596"/>
      <c r="L35" s="2127"/>
      <c r="M35" s="2128"/>
      <c r="N35" s="2117"/>
      <c r="O35" s="2128"/>
      <c r="P35" s="3510" t="str">
        <f>A35</f>
        <v>成交单价（元/平方米）</v>
      </c>
      <c r="Q35" s="3510"/>
      <c r="R35" s="3593">
        <f>E35</f>
        <v>0</v>
      </c>
      <c r="S35" s="3593"/>
      <c r="T35" s="3593">
        <f>G35</f>
        <v>0</v>
      </c>
      <c r="U35" s="3593"/>
      <c r="V35" s="3593">
        <f>I35</f>
        <v>0</v>
      </c>
      <c r="W35" s="3593"/>
      <c r="X35" s="1545"/>
      <c r="Y35" s="1567"/>
      <c r="Z35" s="1545"/>
      <c r="AA35" s="1545"/>
      <c r="AB35" s="1545"/>
      <c r="AC35" s="1545"/>
    </row>
    <row r="36" spans="1:29" ht="15" thickBot="1">
      <c r="A36" s="615" t="s">
        <v>2756</v>
      </c>
      <c r="B36" s="888"/>
      <c r="C36" s="2595" t="e">
        <f>R37</f>
        <v>#DIV/0!</v>
      </c>
      <c r="D36" s="2596"/>
      <c r="E36" s="2597" t="e">
        <f>R36</f>
        <v>#DIV/0!</v>
      </c>
      <c r="F36" s="2597"/>
      <c r="G36" s="2595" t="e">
        <f>T36</f>
        <v>#DIV/0!</v>
      </c>
      <c r="H36" s="2596"/>
      <c r="I36" s="2597" t="e">
        <f>V36</f>
        <v>#DIV/0!</v>
      </c>
      <c r="J36" s="2596"/>
      <c r="K36" s="1597"/>
      <c r="L36" s="2127"/>
      <c r="M36" s="2128"/>
      <c r="N36" s="2117"/>
      <c r="O36" s="2128"/>
      <c r="P36" s="3510" t="str">
        <f>A36</f>
        <v>比较价格（元/平方米）</v>
      </c>
      <c r="Q36" s="3510"/>
      <c r="R36" s="3593" t="e">
        <f>IF(F1="售价",ROUND(PRODUCT(R35,AA7:AA34),0),ROUND(PRODUCT(R35,AA7:AA34),1))</f>
        <v>#DIV/0!</v>
      </c>
      <c r="S36" s="3593"/>
      <c r="T36" s="3593" t="e">
        <f>IF(F1="售价",ROUND(PRODUCT(T35,AB7:AB34),0),ROUND(PRODUCT(T35,AB7:AB34),1))</f>
        <v>#DIV/0!</v>
      </c>
      <c r="U36" s="3593"/>
      <c r="V36" s="3593" t="e">
        <f>IF(F1="售价",ROUND(PRODUCT(V35,AC7:AC34),0),ROUND(PRODUCT(V35,AC7:AC34),1))</f>
        <v>#DIV/0!</v>
      </c>
      <c r="W36" s="3593"/>
      <c r="X36" s="1545"/>
      <c r="Y36" s="1545"/>
      <c r="Z36" s="1545"/>
      <c r="AA36" s="1545"/>
      <c r="AB36" s="1545"/>
      <c r="AC36" s="1545"/>
    </row>
    <row r="37" spans="1:29" ht="15" thickBot="1">
      <c r="A37" s="621" t="s">
        <v>2929</v>
      </c>
      <c r="B37" s="622"/>
      <c r="C37" s="2598" t="e">
        <f>R37</f>
        <v>#DIV/0!</v>
      </c>
      <c r="D37" s="2598"/>
      <c r="E37" s="2598"/>
      <c r="F37" s="2598"/>
      <c r="G37" s="2598"/>
      <c r="H37" s="2598"/>
      <c r="I37" s="2598"/>
      <c r="J37" s="2598"/>
      <c r="K37" s="1598"/>
      <c r="L37" s="2127"/>
      <c r="M37" s="2128"/>
      <c r="N37" s="2128"/>
      <c r="O37" s="2128"/>
      <c r="P37" s="3531" t="str">
        <f>A37</f>
        <v>估价对象XX用房的比较价格（楼面单价，元/平方米）</v>
      </c>
      <c r="Q37" s="3532"/>
      <c r="R37" s="3592" t="e">
        <f>IF(F1="售价",ROUND(AVERAGE(R36:V36),0),ROUND(AVERAGE(R36:V36),1))</f>
        <v>#DIV/0!</v>
      </c>
      <c r="S37" s="3592"/>
      <c r="T37" s="3592"/>
      <c r="U37" s="3592"/>
      <c r="V37" s="3592"/>
      <c r="W37" s="3592"/>
      <c r="X37" s="1545"/>
      <c r="Y37" s="1545"/>
      <c r="Z37" s="1545"/>
      <c r="AA37" s="1545"/>
      <c r="AB37" s="1545"/>
      <c r="AC37" s="1545"/>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41" customFormat="1" ht="13.5" customHeight="1">
      <c r="A42" s="2129"/>
      <c r="B42" s="2129"/>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41"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2.2" thickBot="1">
      <c r="A45" s="1570" t="s">
        <v>574</v>
      </c>
      <c r="B45" s="1545"/>
      <c r="C45" s="1569"/>
      <c r="D45" s="1569"/>
      <c r="E45" s="1569"/>
      <c r="F45" s="1571"/>
      <c r="G45" s="1571"/>
      <c r="H45" s="1569"/>
      <c r="I45" s="1569"/>
      <c r="J45" s="1569"/>
      <c r="K45" s="1572"/>
      <c r="L45" s="1568"/>
      <c r="M45" s="1569"/>
      <c r="N45" s="1569"/>
      <c r="O45" s="1569"/>
      <c r="P45" s="2140"/>
      <c r="Q45" s="2141"/>
      <c r="R45" s="2128"/>
      <c r="S45" s="2128"/>
      <c r="T45" s="2128"/>
      <c r="U45" s="2128"/>
      <c r="V45" s="2128"/>
      <c r="W45" s="2128"/>
      <c r="X45" s="2128"/>
      <c r="Y45" s="2128"/>
      <c r="Z45" s="2128"/>
      <c r="AA45" s="2128"/>
      <c r="AB45" s="2128"/>
      <c r="AC45" s="2128"/>
    </row>
    <row r="46" spans="1:29" s="1343" customFormat="1" ht="14.4">
      <c r="A46" s="645" t="s">
        <v>529</v>
      </c>
      <c r="B46" s="646"/>
      <c r="C46" s="2755" t="str">
        <f>YEAR(C7)&amp;"-"&amp;MONTH(C7)</f>
        <v>2020-2</v>
      </c>
      <c r="D46" s="2757">
        <f>EDATE(C46,-1)</f>
        <v>43831</v>
      </c>
      <c r="E46" s="2757">
        <f t="shared" ref="E46:O46" si="16">EDATE(D46,-1)</f>
        <v>43800</v>
      </c>
      <c r="F46" s="2757">
        <f t="shared" si="16"/>
        <v>43770</v>
      </c>
      <c r="G46" s="2757">
        <f t="shared" si="16"/>
        <v>43739</v>
      </c>
      <c r="H46" s="2757">
        <f t="shared" si="16"/>
        <v>43709</v>
      </c>
      <c r="I46" s="2757">
        <f t="shared" si="16"/>
        <v>43678</v>
      </c>
      <c r="J46" s="2757">
        <f t="shared" si="16"/>
        <v>43647</v>
      </c>
      <c r="K46" s="2757">
        <f t="shared" si="16"/>
        <v>43617</v>
      </c>
      <c r="L46" s="2757">
        <f t="shared" si="16"/>
        <v>43586</v>
      </c>
      <c r="M46" s="2757">
        <f t="shared" si="16"/>
        <v>43556</v>
      </c>
      <c r="N46" s="2757">
        <f t="shared" si="16"/>
        <v>43525</v>
      </c>
      <c r="O46" s="2757">
        <f t="shared" si="16"/>
        <v>43497</v>
      </c>
      <c r="P46" s="2143"/>
      <c r="Q46" s="2144"/>
      <c r="R46" s="2144"/>
      <c r="S46" s="2144"/>
      <c r="T46" s="2144"/>
      <c r="U46" s="2144"/>
      <c r="V46" s="2144"/>
      <c r="W46" s="2144"/>
      <c r="X46" s="2144"/>
      <c r="Y46" s="2144"/>
      <c r="Z46" s="2144"/>
      <c r="AA46" s="2144"/>
      <c r="AB46" s="2144"/>
      <c r="AC46" s="2144"/>
    </row>
    <row r="47" spans="1:29" s="1216" customFormat="1">
      <c r="A47" s="647"/>
      <c r="B47" s="648"/>
      <c r="C47" s="649">
        <v>100</v>
      </c>
      <c r="D47" s="650"/>
      <c r="E47" s="650"/>
      <c r="F47" s="650"/>
      <c r="G47" s="650"/>
      <c r="H47" s="650"/>
      <c r="I47" s="650"/>
      <c r="J47" s="650"/>
      <c r="K47" s="650"/>
      <c r="L47" s="650"/>
      <c r="M47" s="651"/>
      <c r="N47" s="650"/>
      <c r="O47" s="652"/>
      <c r="P47" s="2141"/>
      <c r="Q47" s="1976"/>
      <c r="R47" s="1976"/>
      <c r="S47" s="1976"/>
      <c r="T47" s="1976"/>
      <c r="U47" s="1976"/>
      <c r="V47" s="1976"/>
      <c r="W47" s="1976"/>
      <c r="X47" s="1976"/>
      <c r="Y47" s="1976"/>
      <c r="Z47" s="1976"/>
      <c r="AA47" s="1976"/>
      <c r="AB47" s="1976"/>
      <c r="AC47" s="1976"/>
    </row>
    <row r="48" spans="1:29" s="1216" customFormat="1" ht="15" thickBot="1">
      <c r="A48" s="653" t="s">
        <v>575</v>
      </c>
      <c r="B48" s="654"/>
      <c r="C48" s="655"/>
      <c r="D48" s="656"/>
      <c r="E48" s="656"/>
      <c r="F48" s="656"/>
      <c r="G48" s="656"/>
      <c r="H48" s="656"/>
      <c r="I48" s="656"/>
      <c r="J48" s="656"/>
      <c r="K48" s="656"/>
      <c r="L48" s="656"/>
      <c r="M48" s="657"/>
      <c r="N48" s="656"/>
      <c r="O48" s="658"/>
      <c r="P48" s="2141"/>
      <c r="Q48" s="2141"/>
      <c r="R48" s="1976"/>
      <c r="S48" s="1976"/>
      <c r="T48" s="1976"/>
      <c r="U48" s="1976"/>
      <c r="V48" s="1976"/>
      <c r="W48" s="1976"/>
      <c r="X48" s="1976"/>
      <c r="Y48" s="1976"/>
      <c r="Z48" s="1976"/>
      <c r="AA48" s="1976"/>
      <c r="AB48" s="1976"/>
      <c r="AC48" s="1976"/>
    </row>
    <row r="49" spans="1:29" s="1216" customFormat="1" ht="14.4">
      <c r="A49" s="659" t="s">
        <v>531</v>
      </c>
      <c r="B49" s="648"/>
      <c r="C49" s="660" t="s">
        <v>576</v>
      </c>
      <c r="D49" s="661"/>
      <c r="E49" s="661"/>
      <c r="F49" s="661"/>
      <c r="G49" s="661"/>
      <c r="H49" s="661"/>
      <c r="I49" s="661"/>
      <c r="J49" s="661"/>
      <c r="K49" s="661"/>
      <c r="L49" s="662"/>
      <c r="M49" s="663"/>
      <c r="N49" s="2145"/>
      <c r="O49" s="2145"/>
      <c r="P49" s="2146"/>
      <c r="Q49" s="2141"/>
      <c r="R49" s="1976"/>
      <c r="S49" s="1976"/>
      <c r="T49" s="1976"/>
      <c r="U49" s="1976"/>
      <c r="V49" s="1976"/>
      <c r="W49" s="1976"/>
      <c r="X49" s="1976"/>
      <c r="Y49" s="1976"/>
      <c r="Z49" s="1976"/>
      <c r="AA49" s="1976"/>
      <c r="AB49" s="1976"/>
      <c r="AC49" s="1976"/>
    </row>
    <row r="50" spans="1:29" s="1216" customFormat="1" ht="14.4" thickBot="1">
      <c r="A50" s="659"/>
      <c r="B50" s="648"/>
      <c r="C50" s="649">
        <v>100</v>
      </c>
      <c r="D50" s="650"/>
      <c r="E50" s="650"/>
      <c r="F50" s="650"/>
      <c r="G50" s="650"/>
      <c r="H50" s="650"/>
      <c r="I50" s="650"/>
      <c r="J50" s="650"/>
      <c r="K50" s="650"/>
      <c r="L50" s="650"/>
      <c r="M50" s="652"/>
      <c r="N50" s="2145"/>
      <c r="O50" s="2145"/>
      <c r="P50" s="2141"/>
      <c r="Q50" s="2141"/>
      <c r="R50" s="1976"/>
      <c r="S50" s="1976"/>
      <c r="T50" s="1976"/>
      <c r="U50" s="1976"/>
      <c r="V50" s="1976"/>
      <c r="W50" s="1976"/>
      <c r="X50" s="1976"/>
      <c r="Y50" s="1976"/>
      <c r="Z50" s="1976"/>
      <c r="AA50" s="1976"/>
      <c r="AB50" s="1976"/>
      <c r="AC50" s="1976"/>
    </row>
    <row r="51" spans="1:29" ht="14.4">
      <c r="A51" s="664" t="s">
        <v>577</v>
      </c>
      <c r="B51" s="665" t="s">
        <v>534</v>
      </c>
      <c r="C51" s="704">
        <f>C9</f>
        <v>0</v>
      </c>
      <c r="D51" s="598"/>
      <c r="E51" s="598"/>
      <c r="F51" s="598"/>
      <c r="G51" s="598"/>
      <c r="H51" s="598"/>
      <c r="I51" s="598"/>
      <c r="J51" s="598"/>
      <c r="K51" s="666"/>
      <c r="L51" s="667"/>
      <c r="M51" s="668"/>
      <c r="N51" s="2147"/>
      <c r="O51" s="2147"/>
      <c r="P51" s="2148"/>
      <c r="Q51" s="2141"/>
      <c r="R51" s="2128"/>
      <c r="S51" s="2128"/>
      <c r="T51" s="2128"/>
      <c r="U51" s="2128"/>
      <c r="V51" s="2128"/>
      <c r="W51" s="2128"/>
      <c r="X51" s="2128"/>
      <c r="Y51" s="2128"/>
      <c r="Z51" s="2128"/>
      <c r="AA51" s="2128"/>
      <c r="AB51" s="2128"/>
      <c r="AC51" s="2128"/>
    </row>
    <row r="52" spans="1:29" ht="14.4" thickBot="1">
      <c r="A52" s="669"/>
      <c r="B52" s="670"/>
      <c r="C52" s="671">
        <v>100</v>
      </c>
      <c r="D52" s="671"/>
      <c r="E52" s="671"/>
      <c r="F52" s="671"/>
      <c r="G52" s="671"/>
      <c r="H52" s="671"/>
      <c r="I52" s="671"/>
      <c r="J52" s="671"/>
      <c r="K52" s="671"/>
      <c r="L52" s="671"/>
      <c r="M52" s="672"/>
      <c r="N52" s="2149"/>
      <c r="O52" s="2149"/>
      <c r="P52" s="2148"/>
      <c r="Q52" s="2141"/>
      <c r="R52" s="2128"/>
      <c r="S52" s="2128"/>
      <c r="T52" s="2128"/>
      <c r="U52" s="2128"/>
      <c r="V52" s="2128"/>
      <c r="W52" s="2128"/>
      <c r="X52" s="2128"/>
      <c r="Y52" s="2128"/>
      <c r="Z52" s="2128"/>
      <c r="AA52" s="2128"/>
      <c r="AB52" s="2128"/>
      <c r="AC52" s="2128"/>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47"/>
      <c r="O53" s="2147"/>
      <c r="P53" s="2148"/>
      <c r="Q53" s="2141"/>
      <c r="R53" s="2128"/>
      <c r="S53" s="2128"/>
      <c r="T53" s="2128"/>
      <c r="U53" s="2128"/>
      <c r="V53" s="2128"/>
      <c r="W53" s="2128"/>
      <c r="X53" s="2128"/>
      <c r="Y53" s="2128"/>
      <c r="Z53" s="2128"/>
      <c r="AA53" s="2128"/>
      <c r="AB53" s="2128"/>
      <c r="AC53" s="2128"/>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49"/>
      <c r="O54" s="2149"/>
      <c r="P54" s="2148"/>
      <c r="Q54" s="2141"/>
      <c r="R54" s="2128"/>
      <c r="S54" s="2128"/>
      <c r="T54" s="2128"/>
      <c r="U54" s="2128"/>
      <c r="V54" s="2128"/>
      <c r="W54" s="2128"/>
      <c r="X54" s="2128"/>
      <c r="Y54" s="2128"/>
      <c r="Z54" s="2128"/>
      <c r="AA54" s="2128"/>
      <c r="AB54" s="2128"/>
      <c r="AC54" s="2128"/>
    </row>
    <row r="55" spans="1:29" ht="14.4" thickTop="1">
      <c r="A55" s="669"/>
      <c r="B55" s="935">
        <f>B11</f>
        <v>111</v>
      </c>
      <c r="C55" s="541"/>
      <c r="D55" s="541"/>
      <c r="E55" s="541"/>
      <c r="F55" s="541"/>
      <c r="G55" s="541"/>
      <c r="H55" s="541"/>
      <c r="I55" s="541"/>
      <c r="J55" s="541"/>
      <c r="K55" s="684"/>
      <c r="L55" s="685"/>
      <c r="M55" s="686"/>
      <c r="N55" s="2147"/>
      <c r="O55" s="2147"/>
      <c r="P55" s="2148"/>
      <c r="Q55" s="2141"/>
      <c r="R55" s="2128"/>
      <c r="S55" s="2128"/>
      <c r="T55" s="2128"/>
      <c r="U55" s="2128"/>
      <c r="V55" s="2128"/>
      <c r="W55" s="2128"/>
      <c r="X55" s="2128"/>
      <c r="Y55" s="2128"/>
      <c r="Z55" s="2128"/>
      <c r="AA55" s="2128"/>
      <c r="AB55" s="2128"/>
      <c r="AC55" s="2128"/>
    </row>
    <row r="56" spans="1:29" ht="14.4" thickBot="1">
      <c r="A56" s="669"/>
      <c r="B56" s="670"/>
      <c r="C56" s="692"/>
      <c r="D56" s="671"/>
      <c r="E56" s="671"/>
      <c r="F56" s="671"/>
      <c r="G56" s="671"/>
      <c r="H56" s="671"/>
      <c r="I56" s="671"/>
      <c r="J56" s="671"/>
      <c r="K56" s="671"/>
      <c r="L56" s="671"/>
      <c r="M56" s="672"/>
      <c r="N56" s="2149"/>
      <c r="O56" s="2149"/>
      <c r="P56" s="2148"/>
      <c r="Q56" s="2141"/>
      <c r="R56" s="2128"/>
      <c r="S56" s="2128"/>
      <c r="T56" s="2128"/>
      <c r="U56" s="2128"/>
      <c r="V56" s="2128"/>
      <c r="W56" s="2128"/>
      <c r="X56" s="2128"/>
      <c r="Y56" s="2128"/>
      <c r="Z56" s="2128"/>
      <c r="AA56" s="2128"/>
      <c r="AB56" s="2128"/>
      <c r="AC56" s="2128"/>
    </row>
    <row r="57" spans="1:29" s="1335" customFormat="1" ht="14.4" thickTop="1">
      <c r="A57" s="687"/>
      <c r="B57" s="673">
        <f>B12</f>
        <v>111</v>
      </c>
      <c r="C57" s="541"/>
      <c r="D57" s="541"/>
      <c r="E57" s="541"/>
      <c r="F57" s="541"/>
      <c r="G57" s="688"/>
      <c r="H57" s="689"/>
      <c r="I57" s="689"/>
      <c r="J57" s="689"/>
      <c r="K57" s="689"/>
      <c r="L57" s="690"/>
      <c r="M57" s="691"/>
      <c r="N57" s="2150"/>
      <c r="O57" s="2150"/>
      <c r="P57" s="2151"/>
      <c r="Q57" s="2152"/>
      <c r="R57" s="2153"/>
      <c r="S57" s="2153"/>
      <c r="T57" s="2153"/>
      <c r="U57" s="2153"/>
      <c r="V57" s="2153"/>
      <c r="W57" s="2153"/>
      <c r="X57" s="2153"/>
      <c r="Y57" s="2153"/>
      <c r="Z57" s="2153"/>
      <c r="AA57" s="2153"/>
      <c r="AB57" s="2153"/>
      <c r="AC57" s="2153"/>
    </row>
    <row r="58" spans="1:29" s="1335" customFormat="1" ht="14.4" thickBot="1">
      <c r="A58" s="687"/>
      <c r="B58" s="678"/>
      <c r="C58" s="692"/>
      <c r="D58" s="671"/>
      <c r="E58" s="671"/>
      <c r="F58" s="671"/>
      <c r="G58" s="671"/>
      <c r="H58" s="671"/>
      <c r="I58" s="671"/>
      <c r="J58" s="671"/>
      <c r="K58" s="671"/>
      <c r="L58" s="671"/>
      <c r="M58" s="672"/>
      <c r="N58" s="2149"/>
      <c r="O58" s="2149"/>
      <c r="P58" s="2151"/>
      <c r="Q58" s="2152"/>
      <c r="R58" s="2153"/>
      <c r="S58" s="2153"/>
      <c r="T58" s="2153"/>
      <c r="U58" s="2153"/>
      <c r="V58" s="2153"/>
      <c r="W58" s="2153"/>
      <c r="X58" s="2153"/>
      <c r="Y58" s="2153"/>
      <c r="Z58" s="2153"/>
      <c r="AA58" s="2153"/>
      <c r="AB58" s="2153"/>
      <c r="AC58" s="2153"/>
    </row>
    <row r="59" spans="1:29" s="1335" customFormat="1" ht="14.4" thickTop="1">
      <c r="A59" s="687"/>
      <c r="B59" s="673">
        <f>B13</f>
        <v>111</v>
      </c>
      <c r="C59" s="541"/>
      <c r="D59" s="541"/>
      <c r="E59" s="541"/>
      <c r="F59" s="541"/>
      <c r="G59" s="688"/>
      <c r="H59" s="689"/>
      <c r="I59" s="689"/>
      <c r="J59" s="689"/>
      <c r="K59" s="689"/>
      <c r="L59" s="690"/>
      <c r="M59" s="691"/>
      <c r="N59" s="2150"/>
      <c r="O59" s="2150"/>
      <c r="P59" s="2154"/>
      <c r="Q59" s="2155"/>
      <c r="R59" s="2153"/>
      <c r="S59" s="2153"/>
      <c r="T59" s="2153"/>
      <c r="U59" s="2153"/>
      <c r="V59" s="2153"/>
      <c r="W59" s="2153"/>
      <c r="X59" s="2153"/>
      <c r="Y59" s="2153"/>
      <c r="Z59" s="2153"/>
      <c r="AA59" s="2153"/>
      <c r="AB59" s="2153"/>
      <c r="AC59" s="2153"/>
    </row>
    <row r="60" spans="1:29" s="1335" customFormat="1" ht="14.4" thickBot="1">
      <c r="A60" s="687"/>
      <c r="B60" s="678"/>
      <c r="C60" s="692"/>
      <c r="D60" s="692"/>
      <c r="E60" s="692"/>
      <c r="F60" s="692"/>
      <c r="G60" s="692"/>
      <c r="H60" s="693"/>
      <c r="I60" s="693"/>
      <c r="J60" s="693"/>
      <c r="K60" s="693"/>
      <c r="L60" s="693"/>
      <c r="M60" s="694"/>
      <c r="N60" s="2150"/>
      <c r="O60" s="2150"/>
      <c r="P60" s="2151"/>
      <c r="Q60" s="2152"/>
      <c r="R60" s="2153"/>
      <c r="S60" s="2153"/>
      <c r="T60" s="2153"/>
      <c r="U60" s="2153"/>
      <c r="V60" s="2153"/>
      <c r="W60" s="2153"/>
      <c r="X60" s="2153"/>
      <c r="Y60" s="2153"/>
      <c r="Z60" s="2153"/>
      <c r="AA60" s="2153"/>
      <c r="AB60" s="2153"/>
      <c r="AC60" s="2153"/>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7"/>
      <c r="O61" s="2147"/>
      <c r="P61" s="2157"/>
      <c r="Q61" s="2141"/>
      <c r="R61" s="2128"/>
      <c r="S61" s="2128"/>
      <c r="T61" s="2128"/>
      <c r="U61" s="2128"/>
      <c r="V61" s="2128"/>
      <c r="W61" s="2128"/>
      <c r="X61" s="2128"/>
      <c r="Y61" s="2128"/>
      <c r="Z61" s="2128"/>
      <c r="AA61" s="2128"/>
      <c r="AB61" s="2128"/>
      <c r="AC61" s="2128"/>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49"/>
      <c r="O62" s="2149"/>
      <c r="P62" s="2148"/>
      <c r="Q62" s="2141"/>
      <c r="R62" s="2128"/>
      <c r="S62" s="2128"/>
      <c r="T62" s="2128"/>
      <c r="U62" s="2128"/>
      <c r="V62" s="2128"/>
      <c r="W62" s="2128"/>
      <c r="X62" s="2128"/>
      <c r="Y62" s="2128"/>
      <c r="Z62" s="2128"/>
      <c r="AA62" s="2128"/>
      <c r="AB62" s="2128"/>
      <c r="AC62" s="2128"/>
    </row>
    <row r="63" spans="1:29" ht="15" thickTop="1">
      <c r="A63" s="669"/>
      <c r="B63" s="1879" t="s">
        <v>2554</v>
      </c>
      <c r="C63" s="708" t="s">
        <v>579</v>
      </c>
      <c r="D63" s="708" t="s">
        <v>580</v>
      </c>
      <c r="E63" s="708" t="s">
        <v>581</v>
      </c>
      <c r="F63" s="708" t="s">
        <v>582</v>
      </c>
      <c r="G63" s="708" t="s">
        <v>583</v>
      </c>
      <c r="H63" s="674"/>
      <c r="I63" s="674"/>
      <c r="J63" s="674"/>
      <c r="K63" s="675"/>
      <c r="L63" s="676"/>
      <c r="M63" s="677"/>
      <c r="N63" s="2147"/>
      <c r="O63" s="2147"/>
      <c r="P63" s="2148"/>
      <c r="Q63" s="2141"/>
      <c r="R63" s="2128"/>
      <c r="S63" s="2128"/>
      <c r="T63" s="2128"/>
      <c r="U63" s="2128"/>
      <c r="V63" s="2128"/>
      <c r="W63" s="2128"/>
      <c r="X63" s="2128"/>
      <c r="Y63" s="2128"/>
      <c r="Z63" s="2128"/>
      <c r="AA63" s="2128"/>
      <c r="AB63" s="2128"/>
      <c r="AC63" s="2128"/>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49"/>
      <c r="O64" s="2149"/>
      <c r="P64" s="2148"/>
      <c r="Q64" s="2141"/>
      <c r="R64" s="2128"/>
      <c r="S64" s="2128"/>
      <c r="T64" s="2128"/>
      <c r="U64" s="2128"/>
      <c r="V64" s="2128"/>
      <c r="W64" s="2128"/>
      <c r="X64" s="2128"/>
      <c r="Y64" s="2128"/>
      <c r="Z64" s="2128"/>
      <c r="AA64" s="2128"/>
      <c r="AB64" s="2128"/>
      <c r="AC64" s="2128"/>
    </row>
    <row r="65" spans="1:29" ht="15" thickTop="1">
      <c r="A65" s="669"/>
      <c r="B65" s="2559" t="s">
        <v>2555</v>
      </c>
      <c r="C65" s="2560" t="s">
        <v>2556</v>
      </c>
      <c r="D65" s="2560" t="s">
        <v>2557</v>
      </c>
      <c r="E65" s="2560" t="s">
        <v>2558</v>
      </c>
      <c r="F65" s="2560" t="s">
        <v>2559</v>
      </c>
      <c r="G65" s="2560" t="s">
        <v>2560</v>
      </c>
      <c r="H65" s="674"/>
      <c r="I65" s="674"/>
      <c r="J65" s="674"/>
      <c r="K65" s="674"/>
      <c r="L65" s="674"/>
      <c r="M65" s="2563"/>
      <c r="N65" s="2149"/>
      <c r="O65" s="2149"/>
      <c r="P65" s="2148"/>
      <c r="Q65" s="2141"/>
      <c r="R65" s="2128"/>
      <c r="S65" s="2128"/>
      <c r="T65" s="2128"/>
      <c r="U65" s="2128"/>
      <c r="V65" s="2128"/>
      <c r="W65" s="2128"/>
      <c r="X65" s="2128"/>
      <c r="Y65" s="2128"/>
      <c r="Z65" s="2128"/>
      <c r="AA65" s="2128"/>
      <c r="AB65" s="2128"/>
      <c r="AC65" s="2128"/>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49"/>
      <c r="O66" s="2149"/>
      <c r="P66" s="2148"/>
      <c r="Q66" s="2141"/>
      <c r="R66" s="2128"/>
      <c r="S66" s="2128"/>
      <c r="T66" s="2128"/>
      <c r="U66" s="2128"/>
      <c r="V66" s="2128"/>
      <c r="W66" s="2128"/>
      <c r="X66" s="2128"/>
      <c r="Y66" s="2128"/>
      <c r="Z66" s="2128"/>
      <c r="AA66" s="2128"/>
      <c r="AB66" s="2128"/>
      <c r="AC66" s="2128"/>
    </row>
    <row r="67" spans="1:29" ht="15" thickTop="1">
      <c r="A67" s="669"/>
      <c r="B67" s="673" t="s">
        <v>744</v>
      </c>
      <c r="C67" s="708" t="s">
        <v>579</v>
      </c>
      <c r="D67" s="708" t="s">
        <v>580</v>
      </c>
      <c r="E67" s="708" t="s">
        <v>581</v>
      </c>
      <c r="F67" s="708" t="s">
        <v>582</v>
      </c>
      <c r="G67" s="708" t="s">
        <v>583</v>
      </c>
      <c r="H67" s="674"/>
      <c r="I67" s="674"/>
      <c r="J67" s="674"/>
      <c r="K67" s="675"/>
      <c r="L67" s="676"/>
      <c r="M67" s="677"/>
      <c r="N67" s="2147"/>
      <c r="O67" s="2147"/>
      <c r="P67" s="2148"/>
      <c r="Q67" s="2141"/>
      <c r="R67" s="2128"/>
      <c r="S67" s="2128"/>
      <c r="T67" s="2128"/>
      <c r="U67" s="2128"/>
      <c r="V67" s="2128"/>
      <c r="W67" s="2128"/>
      <c r="X67" s="2128"/>
      <c r="Y67" s="2128"/>
      <c r="Z67" s="2128"/>
      <c r="AA67" s="2128"/>
      <c r="AB67" s="2128"/>
      <c r="AC67" s="2128"/>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49"/>
      <c r="O68" s="2149"/>
      <c r="P68" s="2148"/>
      <c r="Q68" s="2141"/>
      <c r="R68" s="2128"/>
      <c r="S68" s="2128"/>
      <c r="T68" s="2128"/>
      <c r="U68" s="2128"/>
      <c r="V68" s="2128"/>
      <c r="W68" s="2128"/>
      <c r="X68" s="2128"/>
      <c r="Y68" s="2128"/>
      <c r="Z68" s="2128"/>
      <c r="AA68" s="2128"/>
      <c r="AB68" s="2128"/>
      <c r="AC68" s="2128"/>
    </row>
    <row r="69" spans="1:29" ht="15" thickTop="1">
      <c r="A69" s="669"/>
      <c r="B69" s="673" t="s">
        <v>745</v>
      </c>
      <c r="C69" s="688"/>
      <c r="D69" s="688"/>
      <c r="E69" s="688"/>
      <c r="F69" s="688"/>
      <c r="G69" s="688"/>
      <c r="H69" s="718"/>
      <c r="I69" s="718"/>
      <c r="J69" s="718"/>
      <c r="K69" s="719"/>
      <c r="L69" s="720"/>
      <c r="M69" s="721"/>
      <c r="N69" s="2147"/>
      <c r="O69" s="2147"/>
      <c r="P69" s="2148"/>
      <c r="Q69" s="2141"/>
      <c r="R69" s="2128"/>
      <c r="S69" s="2128"/>
      <c r="T69" s="2128"/>
      <c r="U69" s="2128"/>
      <c r="V69" s="2128"/>
      <c r="W69" s="2128"/>
      <c r="X69" s="2128"/>
      <c r="Y69" s="2128"/>
      <c r="Z69" s="2128"/>
      <c r="AA69" s="2128"/>
      <c r="AB69" s="2128"/>
      <c r="AC69" s="2128"/>
    </row>
    <row r="70" spans="1:29" ht="14.4" thickBot="1">
      <c r="A70" s="669"/>
      <c r="B70" s="678"/>
      <c r="C70" s="679">
        <v>100</v>
      </c>
      <c r="D70" s="679">
        <f>C70-$K22</f>
        <v>100</v>
      </c>
      <c r="E70" s="679"/>
      <c r="F70" s="679"/>
      <c r="G70" s="679"/>
      <c r="H70" s="679"/>
      <c r="I70" s="679"/>
      <c r="J70" s="679"/>
      <c r="K70" s="679"/>
      <c r="L70" s="679"/>
      <c r="M70" s="680"/>
      <c r="N70" s="2149"/>
      <c r="O70" s="2149"/>
      <c r="P70" s="2148"/>
      <c r="Q70" s="2141"/>
      <c r="R70" s="2128"/>
      <c r="S70" s="2128"/>
      <c r="T70" s="2128"/>
      <c r="U70" s="2128"/>
      <c r="V70" s="2128"/>
      <c r="W70" s="2128"/>
      <c r="X70" s="2128"/>
      <c r="Y70" s="2128"/>
      <c r="Z70" s="2128"/>
      <c r="AA70" s="2128"/>
      <c r="AB70" s="2128"/>
      <c r="AC70" s="2128"/>
    </row>
    <row r="71" spans="1:29" s="1216" customFormat="1" ht="14.4" thickTop="1">
      <c r="A71" s="709"/>
      <c r="B71" s="673">
        <f>B23</f>
        <v>111</v>
      </c>
      <c r="C71" s="541"/>
      <c r="D71" s="541"/>
      <c r="E71" s="541"/>
      <c r="F71" s="541"/>
      <c r="G71" s="688"/>
      <c r="H71" s="688"/>
      <c r="I71" s="688"/>
      <c r="J71" s="688"/>
      <c r="K71" s="688"/>
      <c r="L71" s="890"/>
      <c r="M71" s="891"/>
      <c r="N71" s="2145"/>
      <c r="O71" s="2145"/>
      <c r="P71" s="2148"/>
      <c r="Q71" s="2141"/>
      <c r="R71" s="1976"/>
      <c r="S71" s="1976"/>
      <c r="T71" s="1976"/>
      <c r="U71" s="1976"/>
      <c r="V71" s="1976"/>
      <c r="W71" s="1976"/>
      <c r="X71" s="1976"/>
      <c r="Y71" s="1976"/>
      <c r="Z71" s="1976"/>
      <c r="AA71" s="1976"/>
      <c r="AB71" s="1976"/>
      <c r="AC71" s="1976"/>
    </row>
    <row r="72" spans="1:29" s="1216" customFormat="1" ht="14.4" thickBot="1">
      <c r="A72" s="709"/>
      <c r="B72" s="678"/>
      <c r="C72" s="692"/>
      <c r="D72" s="671"/>
      <c r="E72" s="671"/>
      <c r="F72" s="671"/>
      <c r="G72" s="671"/>
      <c r="H72" s="671"/>
      <c r="I72" s="671"/>
      <c r="J72" s="671"/>
      <c r="K72" s="671"/>
      <c r="L72" s="671"/>
      <c r="M72" s="672"/>
      <c r="N72" s="2149"/>
      <c r="O72" s="2149"/>
      <c r="P72" s="2148"/>
      <c r="Q72" s="2141"/>
      <c r="R72" s="1976"/>
      <c r="S72" s="1976"/>
      <c r="T72" s="1976"/>
      <c r="U72" s="1976"/>
      <c r="V72" s="1976"/>
      <c r="W72" s="1976"/>
      <c r="X72" s="1976"/>
      <c r="Y72" s="1976"/>
      <c r="Z72" s="1976"/>
      <c r="AA72" s="1976"/>
      <c r="AB72" s="1976"/>
      <c r="AC72" s="1976"/>
    </row>
    <row r="73" spans="1:29" s="1216" customFormat="1" ht="14.4" thickTop="1">
      <c r="A73" s="709"/>
      <c r="B73" s="673">
        <f>B24</f>
        <v>111</v>
      </c>
      <c r="C73" s="541"/>
      <c r="D73" s="541"/>
      <c r="E73" s="541"/>
      <c r="F73" s="541"/>
      <c r="G73" s="688"/>
      <c r="H73" s="688"/>
      <c r="I73" s="688"/>
      <c r="J73" s="688"/>
      <c r="K73" s="688"/>
      <c r="L73" s="688"/>
      <c r="M73" s="891"/>
      <c r="N73" s="2145"/>
      <c r="O73" s="2145"/>
      <c r="P73" s="2148"/>
      <c r="Q73" s="2141"/>
      <c r="R73" s="1976"/>
      <c r="S73" s="1976"/>
      <c r="T73" s="1976"/>
      <c r="U73" s="1976"/>
      <c r="V73" s="1976"/>
      <c r="W73" s="1976"/>
      <c r="X73" s="1976"/>
      <c r="Y73" s="1976"/>
      <c r="Z73" s="1976"/>
      <c r="AA73" s="1976"/>
      <c r="AB73" s="1976"/>
      <c r="AC73" s="1976"/>
    </row>
    <row r="74" spans="1:29" s="1216" customFormat="1" ht="14.4" thickBot="1">
      <c r="A74" s="709"/>
      <c r="B74" s="678"/>
      <c r="C74" s="692"/>
      <c r="D74" s="671"/>
      <c r="E74" s="671"/>
      <c r="F74" s="671"/>
      <c r="G74" s="671"/>
      <c r="H74" s="671"/>
      <c r="I74" s="671"/>
      <c r="J74" s="671"/>
      <c r="K74" s="671"/>
      <c r="L74" s="671"/>
      <c r="M74" s="672"/>
      <c r="N74" s="2149"/>
      <c r="O74" s="2149"/>
      <c r="P74" s="2148"/>
      <c r="Q74" s="2141"/>
      <c r="R74" s="1976"/>
      <c r="S74" s="1976"/>
      <c r="T74" s="1976"/>
      <c r="U74" s="1976"/>
      <c r="V74" s="1976"/>
      <c r="W74" s="1976"/>
      <c r="X74" s="1976"/>
      <c r="Y74" s="1976"/>
      <c r="Z74" s="1976"/>
      <c r="AA74" s="1976"/>
      <c r="AB74" s="1976"/>
      <c r="AC74" s="1976"/>
    </row>
    <row r="75" spans="1:29" s="1335" customFormat="1" ht="14.4" thickTop="1">
      <c r="A75" s="687"/>
      <c r="B75" s="673">
        <f>B25</f>
        <v>111</v>
      </c>
      <c r="C75" s="541"/>
      <c r="D75" s="541"/>
      <c r="E75" s="541"/>
      <c r="F75" s="541"/>
      <c r="G75" s="688"/>
      <c r="H75" s="689"/>
      <c r="I75" s="689"/>
      <c r="J75" s="689"/>
      <c r="K75" s="689"/>
      <c r="L75" s="690"/>
      <c r="M75" s="691"/>
      <c r="N75" s="2150"/>
      <c r="O75" s="2150"/>
      <c r="P75" s="2151"/>
      <c r="Q75" s="2152"/>
      <c r="R75" s="2153"/>
      <c r="S75" s="2153"/>
      <c r="T75" s="2153"/>
      <c r="U75" s="2153"/>
      <c r="V75" s="2153"/>
      <c r="W75" s="2153"/>
      <c r="X75" s="2153"/>
      <c r="Y75" s="2153"/>
      <c r="Z75" s="2153"/>
      <c r="AA75" s="2153"/>
      <c r="AB75" s="2153"/>
      <c r="AC75" s="2153"/>
    </row>
    <row r="76" spans="1:29" s="1335" customFormat="1" ht="14.4" thickBot="1">
      <c r="A76" s="687"/>
      <c r="B76" s="678"/>
      <c r="C76" s="692"/>
      <c r="D76" s="692"/>
      <c r="E76" s="692"/>
      <c r="F76" s="692"/>
      <c r="G76" s="671"/>
      <c r="H76" s="671"/>
      <c r="I76" s="671"/>
      <c r="J76" s="671"/>
      <c r="K76" s="671"/>
      <c r="L76" s="671"/>
      <c r="M76" s="672"/>
      <c r="N76" s="2150"/>
      <c r="O76" s="2150"/>
      <c r="P76" s="2151"/>
      <c r="Q76" s="2152"/>
      <c r="R76" s="2153"/>
      <c r="S76" s="2153"/>
      <c r="T76" s="2153"/>
      <c r="U76" s="2153"/>
      <c r="V76" s="2153"/>
      <c r="W76" s="2153"/>
      <c r="X76" s="2153"/>
      <c r="Y76" s="2153"/>
      <c r="Z76" s="2153"/>
      <c r="AA76" s="2153"/>
      <c r="AB76" s="2153"/>
      <c r="AC76" s="2153"/>
    </row>
    <row r="77" spans="1:29" ht="15" thickTop="1">
      <c r="A77" s="664" t="s">
        <v>551</v>
      </c>
      <c r="B77" s="665" t="s">
        <v>751</v>
      </c>
      <c r="C77" s="688"/>
      <c r="D77" s="688"/>
      <c r="E77" s="598"/>
      <c r="F77" s="598"/>
      <c r="G77" s="598"/>
      <c r="H77" s="598"/>
      <c r="I77" s="598"/>
      <c r="J77" s="598"/>
      <c r="K77" s="666"/>
      <c r="L77" s="667"/>
      <c r="M77" s="668"/>
      <c r="N77" s="2147"/>
      <c r="O77" s="2147"/>
      <c r="P77" s="2148"/>
      <c r="Q77" s="2141"/>
      <c r="R77" s="2128"/>
      <c r="S77" s="2128"/>
      <c r="T77" s="2128"/>
      <c r="U77" s="2128"/>
      <c r="V77" s="2128"/>
      <c r="W77" s="2128"/>
      <c r="X77" s="2128"/>
      <c r="Y77" s="2128"/>
      <c r="Z77" s="2128"/>
      <c r="AA77" s="2128"/>
      <c r="AB77" s="2128"/>
      <c r="AC77" s="2128"/>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49"/>
      <c r="O78" s="2149"/>
      <c r="P78" s="2148"/>
      <c r="Q78" s="2141"/>
      <c r="R78" s="2128"/>
      <c r="S78" s="2128"/>
      <c r="T78" s="2128"/>
      <c r="U78" s="2128"/>
      <c r="V78" s="2128"/>
      <c r="W78" s="2128"/>
      <c r="X78" s="2128"/>
      <c r="Y78" s="2128"/>
      <c r="Z78" s="2128"/>
      <c r="AA78" s="2128"/>
      <c r="AB78" s="2128"/>
      <c r="AC78" s="2128"/>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5"/>
      <c r="O79" s="2145"/>
      <c r="P79" s="2148"/>
      <c r="Q79" s="2141"/>
      <c r="R79" s="2128"/>
      <c r="S79" s="2128"/>
      <c r="T79" s="2128"/>
      <c r="U79" s="2128"/>
      <c r="V79" s="2128"/>
      <c r="W79" s="2128"/>
      <c r="X79" s="2128"/>
      <c r="Y79" s="2128"/>
      <c r="Z79" s="2128"/>
      <c r="AA79" s="2128"/>
      <c r="AB79" s="2128"/>
      <c r="AC79" s="2128"/>
    </row>
    <row r="80" spans="1:29">
      <c r="A80" s="669"/>
      <c r="B80" s="681"/>
      <c r="C80" s="894">
        <v>0.5</v>
      </c>
      <c r="D80" s="894">
        <v>0.6</v>
      </c>
      <c r="E80" s="894">
        <v>0.7</v>
      </c>
      <c r="F80" s="894">
        <v>0.8</v>
      </c>
      <c r="G80" s="894">
        <v>0.9</v>
      </c>
      <c r="H80" s="894">
        <v>1.0001</v>
      </c>
      <c r="I80" s="935"/>
      <c r="J80" s="935"/>
      <c r="K80" s="945"/>
      <c r="L80" s="946"/>
      <c r="M80" s="947"/>
      <c r="N80" s="2145"/>
      <c r="O80" s="2145"/>
      <c r="P80" s="2148"/>
      <c r="Q80" s="2141"/>
      <c r="R80" s="2128"/>
      <c r="S80" s="2128"/>
      <c r="T80" s="2128"/>
      <c r="U80" s="2128"/>
      <c r="V80" s="2128"/>
      <c r="W80" s="2128"/>
      <c r="X80" s="2128"/>
      <c r="Y80" s="2128"/>
      <c r="Z80" s="2128"/>
      <c r="AA80" s="2128"/>
      <c r="AB80" s="2128"/>
      <c r="AC80" s="2128"/>
    </row>
    <row r="81" spans="1:29" s="1335"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5"/>
      <c r="B82" s="681" t="s">
        <v>817</v>
      </c>
      <c r="C82" s="688"/>
      <c r="D82" s="688"/>
      <c r="E82" s="718"/>
      <c r="F82" s="718"/>
      <c r="G82" s="718"/>
      <c r="H82" s="718"/>
      <c r="I82" s="718"/>
      <c r="J82" s="718"/>
      <c r="K82" s="719"/>
      <c r="L82" s="720"/>
      <c r="M82" s="721"/>
      <c r="N82" s="2147"/>
      <c r="O82" s="2147"/>
      <c r="P82" s="2148"/>
      <c r="Q82" s="2141"/>
      <c r="R82" s="2128"/>
      <c r="S82" s="2128"/>
      <c r="T82" s="2128"/>
      <c r="U82" s="2128"/>
      <c r="V82" s="2128"/>
      <c r="W82" s="2128"/>
      <c r="X82" s="2128"/>
      <c r="Y82" s="2128"/>
      <c r="Z82" s="2128"/>
      <c r="AA82" s="2128"/>
      <c r="AB82" s="2128"/>
      <c r="AC82" s="2128"/>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5"/>
      <c r="B84" s="673" t="s">
        <v>825</v>
      </c>
      <c r="C84" s="688"/>
      <c r="D84" s="688"/>
      <c r="E84" s="688"/>
      <c r="F84" s="688"/>
      <c r="G84" s="688"/>
      <c r="H84" s="688"/>
      <c r="I84" s="718"/>
      <c r="J84" s="718"/>
      <c r="K84" s="719"/>
      <c r="L84" s="720"/>
      <c r="M84" s="721"/>
      <c r="N84" s="2147"/>
      <c r="O84" s="2147"/>
      <c r="P84" s="2148"/>
      <c r="Q84" s="2141"/>
      <c r="R84" s="2128"/>
      <c r="S84" s="2128"/>
      <c r="T84" s="2128"/>
      <c r="U84" s="2128"/>
      <c r="V84" s="2128"/>
      <c r="W84" s="2128"/>
      <c r="X84" s="2128"/>
      <c r="Y84" s="2128"/>
      <c r="Z84" s="2128"/>
      <c r="AA84" s="2128"/>
      <c r="AB84" s="2128"/>
      <c r="AC84" s="2128"/>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7"/>
      <c r="O86" s="2147"/>
      <c r="P86" s="2148"/>
      <c r="Q86" s="2141"/>
      <c r="R86" s="2128"/>
      <c r="S86" s="2128"/>
      <c r="T86" s="2128"/>
      <c r="U86" s="2128"/>
      <c r="V86" s="2128"/>
      <c r="W86" s="2128"/>
      <c r="X86" s="2128"/>
      <c r="Y86" s="2128"/>
      <c r="Z86" s="2128"/>
      <c r="AA86" s="2128"/>
      <c r="AB86" s="2128"/>
      <c r="AC86" s="2128"/>
    </row>
    <row r="87" spans="1:29">
      <c r="A87" s="735"/>
      <c r="B87" s="681"/>
      <c r="C87" s="730"/>
      <c r="D87" s="730"/>
      <c r="E87" s="730"/>
      <c r="F87" s="730"/>
      <c r="G87" s="730"/>
      <c r="H87" s="730"/>
      <c r="I87" s="730"/>
      <c r="J87" s="731"/>
      <c r="K87" s="731"/>
      <c r="L87" s="732"/>
      <c r="M87" s="733"/>
      <c r="N87" s="2147"/>
      <c r="O87" s="2147"/>
      <c r="P87" s="2148"/>
      <c r="Q87" s="2141"/>
      <c r="R87" s="2128"/>
      <c r="S87" s="2128"/>
      <c r="T87" s="2128"/>
      <c r="U87" s="2128"/>
      <c r="V87" s="2128"/>
      <c r="W87" s="2128"/>
      <c r="X87" s="2128"/>
      <c r="Y87" s="2128"/>
      <c r="Z87" s="2128"/>
      <c r="AA87" s="2128"/>
      <c r="AB87" s="2128"/>
      <c r="AC87" s="2128"/>
    </row>
    <row r="88" spans="1:29" ht="14.4" thickBot="1">
      <c r="A88" s="669"/>
      <c r="B88" s="678"/>
      <c r="C88" s="692"/>
      <c r="D88" s="671"/>
      <c r="E88" s="671"/>
      <c r="F88" s="671"/>
      <c r="G88" s="671"/>
      <c r="H88" s="671"/>
      <c r="I88" s="671"/>
      <c r="J88" s="671"/>
      <c r="K88" s="671"/>
      <c r="L88" s="671"/>
      <c r="M88" s="671"/>
      <c r="N88" s="2149"/>
      <c r="O88" s="2149"/>
      <c r="P88" s="2148"/>
      <c r="Q88" s="2141"/>
      <c r="R88" s="2128"/>
      <c r="S88" s="2128"/>
      <c r="T88" s="2128"/>
      <c r="U88" s="2128"/>
      <c r="V88" s="2128"/>
      <c r="W88" s="2128"/>
      <c r="X88" s="2128"/>
      <c r="Y88" s="2128"/>
      <c r="Z88" s="2128"/>
      <c r="AA88" s="2128"/>
      <c r="AB88" s="2128"/>
      <c r="AC88" s="2128"/>
    </row>
    <row r="89" spans="1:29" s="1335" customFormat="1" ht="15" thickTop="1">
      <c r="A89" s="728"/>
      <c r="B89" s="673" t="s">
        <v>827</v>
      </c>
      <c r="C89" s="688"/>
      <c r="D89" s="688"/>
      <c r="E89" s="688"/>
      <c r="F89" s="688"/>
      <c r="G89" s="688"/>
      <c r="H89" s="688"/>
      <c r="I89" s="688"/>
      <c r="J89" s="688"/>
      <c r="K89" s="688"/>
      <c r="L89" s="688"/>
      <c r="M89" s="891"/>
      <c r="N89" s="2150"/>
      <c r="O89" s="2150"/>
      <c r="P89" s="2151"/>
      <c r="Q89" s="2152"/>
      <c r="R89" s="2153"/>
      <c r="S89" s="2153"/>
      <c r="T89" s="2153"/>
      <c r="U89" s="2153"/>
      <c r="V89" s="2153"/>
      <c r="W89" s="2153"/>
      <c r="X89" s="2153"/>
      <c r="Y89" s="2153"/>
      <c r="Z89" s="2153"/>
      <c r="AA89" s="2153"/>
      <c r="AB89" s="2153"/>
      <c r="AC89" s="2153"/>
    </row>
    <row r="90" spans="1:29" s="1335" customFormat="1" ht="14.4" thickBot="1">
      <c r="A90" s="687"/>
      <c r="B90" s="678"/>
      <c r="C90" s="692"/>
      <c r="D90" s="671"/>
      <c r="E90" s="671"/>
      <c r="F90" s="671"/>
      <c r="G90" s="671"/>
      <c r="H90" s="671"/>
      <c r="I90" s="671"/>
      <c r="J90" s="671"/>
      <c r="K90" s="671"/>
      <c r="L90" s="671"/>
      <c r="M90" s="672"/>
      <c r="N90" s="2150"/>
      <c r="O90" s="2150"/>
      <c r="P90" s="2151"/>
      <c r="Q90" s="2152"/>
      <c r="R90" s="2153"/>
      <c r="S90" s="2153"/>
      <c r="T90" s="2153"/>
      <c r="U90" s="2153"/>
      <c r="V90" s="2153"/>
      <c r="W90" s="2153"/>
      <c r="X90" s="2153"/>
      <c r="Y90" s="2153"/>
      <c r="Z90" s="2153"/>
      <c r="AA90" s="2153"/>
      <c r="AB90" s="2153"/>
      <c r="AC90" s="2153"/>
    </row>
    <row r="91" spans="1:29" ht="14.4" thickTop="1">
      <c r="A91" s="735"/>
      <c r="B91" s="673">
        <f>B32</f>
        <v>111</v>
      </c>
      <c r="C91" s="541"/>
      <c r="D91" s="541"/>
      <c r="E91" s="541"/>
      <c r="F91" s="541"/>
      <c r="G91" s="688"/>
      <c r="H91" s="689"/>
      <c r="I91" s="689"/>
      <c r="J91" s="689"/>
      <c r="K91" s="689"/>
      <c r="L91" s="690"/>
      <c r="M91" s="691"/>
      <c r="N91" s="2147"/>
      <c r="O91" s="2147"/>
      <c r="P91" s="2148"/>
      <c r="Q91" s="2141"/>
      <c r="R91" s="2128"/>
      <c r="S91" s="2128"/>
      <c r="T91" s="2128"/>
      <c r="U91" s="2128"/>
      <c r="V91" s="2128"/>
      <c r="W91" s="2128"/>
      <c r="X91" s="2128"/>
      <c r="Y91" s="2128"/>
      <c r="Z91" s="2128"/>
      <c r="AA91" s="2128"/>
      <c r="AB91" s="2128"/>
      <c r="AC91" s="2128"/>
    </row>
    <row r="92" spans="1:29" ht="14.4" thickBot="1">
      <c r="A92" s="669"/>
      <c r="B92" s="678"/>
      <c r="C92" s="692"/>
      <c r="D92" s="671"/>
      <c r="E92" s="671"/>
      <c r="F92" s="671"/>
      <c r="G92" s="692"/>
      <c r="H92" s="693"/>
      <c r="I92" s="693"/>
      <c r="J92" s="693"/>
      <c r="K92" s="693"/>
      <c r="L92" s="693"/>
      <c r="M92" s="694"/>
      <c r="N92" s="2149"/>
      <c r="O92" s="2149"/>
      <c r="P92" s="2148"/>
      <c r="Q92" s="2141"/>
      <c r="R92" s="2128"/>
      <c r="S92" s="2128"/>
      <c r="T92" s="2128"/>
      <c r="U92" s="2128"/>
      <c r="V92" s="2128"/>
      <c r="W92" s="2128"/>
      <c r="X92" s="2128"/>
      <c r="Y92" s="2128"/>
      <c r="Z92" s="2128"/>
      <c r="AA92" s="2128"/>
      <c r="AB92" s="2128"/>
      <c r="AC92" s="2128"/>
    </row>
    <row r="93" spans="1:29" ht="14.4" thickTop="1">
      <c r="A93" s="735"/>
      <c r="B93" s="673">
        <f>B33</f>
        <v>111</v>
      </c>
      <c r="C93" s="541"/>
      <c r="D93" s="541"/>
      <c r="E93" s="541"/>
      <c r="F93" s="541"/>
      <c r="G93" s="688"/>
      <c r="H93" s="689"/>
      <c r="I93" s="689"/>
      <c r="J93" s="689"/>
      <c r="K93" s="689"/>
      <c r="L93" s="690"/>
      <c r="M93" s="691"/>
      <c r="N93" s="2147"/>
      <c r="O93" s="2147"/>
      <c r="P93" s="2148"/>
      <c r="Q93" s="2141"/>
      <c r="R93" s="2128"/>
      <c r="S93" s="2128"/>
      <c r="T93" s="2128"/>
      <c r="U93" s="2128"/>
      <c r="V93" s="2128"/>
      <c r="W93" s="2128"/>
      <c r="X93" s="2128"/>
      <c r="Y93" s="2128"/>
      <c r="Z93" s="2128"/>
      <c r="AA93" s="2128"/>
      <c r="AB93" s="2128"/>
      <c r="AC93" s="2128"/>
    </row>
    <row r="94" spans="1:29" ht="14.4" thickBot="1">
      <c r="A94" s="669"/>
      <c r="B94" s="678"/>
      <c r="C94" s="692"/>
      <c r="D94" s="671"/>
      <c r="E94" s="671"/>
      <c r="F94" s="671"/>
      <c r="G94" s="692"/>
      <c r="H94" s="693"/>
      <c r="I94" s="693"/>
      <c r="J94" s="693"/>
      <c r="K94" s="693"/>
      <c r="L94" s="693"/>
      <c r="M94" s="694"/>
      <c r="N94" s="2149"/>
      <c r="O94" s="2149"/>
      <c r="P94" s="2148"/>
      <c r="Q94" s="2141"/>
      <c r="R94" s="2128"/>
      <c r="S94" s="2128"/>
      <c r="T94" s="2128"/>
      <c r="U94" s="2128"/>
      <c r="V94" s="2128"/>
      <c r="W94" s="2128"/>
      <c r="X94" s="2128"/>
      <c r="Y94" s="2128"/>
      <c r="Z94" s="2128"/>
      <c r="AA94" s="2128"/>
      <c r="AB94" s="2128"/>
      <c r="AC94" s="2128"/>
    </row>
    <row r="95" spans="1:29" ht="14.4" thickTop="1">
      <c r="A95" s="735"/>
      <c r="B95" s="917">
        <f>B34</f>
        <v>111</v>
      </c>
      <c r="C95" s="541"/>
      <c r="D95" s="541"/>
      <c r="E95" s="541"/>
      <c r="F95" s="541"/>
      <c r="G95" s="688"/>
      <c r="H95" s="689"/>
      <c r="I95" s="689"/>
      <c r="J95" s="689"/>
      <c r="K95" s="689"/>
      <c r="L95" s="690"/>
      <c r="M95" s="691"/>
      <c r="N95" s="2149"/>
      <c r="O95" s="2149"/>
      <c r="P95" s="2188"/>
      <c r="Q95" s="2189"/>
      <c r="R95" s="2128"/>
      <c r="S95" s="2128"/>
      <c r="T95" s="2128"/>
      <c r="U95" s="2128"/>
      <c r="V95" s="2128"/>
      <c r="W95" s="2128"/>
      <c r="X95" s="2128"/>
      <c r="Y95" s="2128"/>
      <c r="Z95" s="2128"/>
      <c r="AA95" s="2128"/>
      <c r="AB95" s="2128"/>
      <c r="AC95" s="2128"/>
    </row>
    <row r="96" spans="1:29" ht="14.4" thickBot="1">
      <c r="A96" s="669"/>
      <c r="B96" s="678"/>
      <c r="C96" s="692"/>
      <c r="D96" s="692"/>
      <c r="E96" s="692"/>
      <c r="F96" s="692"/>
      <c r="G96" s="692"/>
      <c r="H96" s="693"/>
      <c r="I96" s="693"/>
      <c r="J96" s="693"/>
      <c r="K96" s="693"/>
      <c r="L96" s="693"/>
      <c r="M96" s="694"/>
      <c r="N96" s="2149"/>
      <c r="O96" s="2149"/>
      <c r="P96" s="2148"/>
      <c r="Q96" s="2141"/>
      <c r="R96" s="2128"/>
      <c r="S96" s="2128"/>
      <c r="T96" s="2128"/>
      <c r="U96" s="2128"/>
      <c r="V96" s="2128"/>
      <c r="W96" s="2128"/>
      <c r="X96" s="2128"/>
      <c r="Y96" s="2128"/>
      <c r="Z96" s="2128"/>
      <c r="AA96" s="2128"/>
      <c r="AB96" s="2128"/>
      <c r="AC96" s="2128"/>
    </row>
    <row r="97" spans="1:29" ht="14.4"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xr:uid="{00000000-0002-0000-2A00-000000000000}">
      <formula1>交通便捷度</formula1>
    </dataValidation>
    <dataValidation type="list" allowBlank="1" showInputMessage="1" showErrorMessage="1" sqref="G17 C17 I17 E17" xr:uid="{00000000-0002-0000-2A00-000001000000}">
      <formula1>公共配套设施</formula1>
    </dataValidation>
    <dataValidation type="list" allowBlank="1" showInputMessage="1" showErrorMessage="1" sqref="D1" xr:uid="{00000000-0002-0000-2A00-000002000000}">
      <formula1>项目类型</formula1>
    </dataValidation>
    <dataValidation type="list" allowBlank="1" showInputMessage="1" showErrorMessage="1" sqref="C10 E10 G10 I10" xr:uid="{00000000-0002-0000-2A00-000003000000}">
      <formula1>土地年限区间</formula1>
    </dataValidation>
    <dataValidation type="list" allowBlank="1" showInputMessage="1" showErrorMessage="1" sqref="C8 E8 G8 I8" xr:uid="{00000000-0002-0000-2A00-000004000000}">
      <formula1>仓储交易情况</formula1>
    </dataValidation>
    <dataValidation type="list" allowBlank="1" showInputMessage="1" showErrorMessage="1" sqref="E9 G9 I9" xr:uid="{00000000-0002-0000-2A00-000005000000}">
      <formula1>仓储用途</formula1>
    </dataValidation>
    <dataValidation type="list" allowBlank="1" showInputMessage="1" showErrorMessage="1" sqref="C21 E21 G21 I21" xr:uid="{00000000-0002-0000-2A00-000006000000}">
      <formula1>环境</formula1>
    </dataValidation>
    <dataValidation type="list" allowBlank="1" showInputMessage="1" showErrorMessage="1" sqref="C22 E22 G22 I22" xr:uid="{00000000-0002-0000-2A00-000007000000}">
      <formula1>仓储楼层</formula1>
    </dataValidation>
    <dataValidation type="list" allowBlank="1" showInputMessage="1" showErrorMessage="1" sqref="C26 E26 G26 I26" xr:uid="{00000000-0002-0000-2A00-000008000000}">
      <formula1>仓储公共部分装修</formula1>
    </dataValidation>
    <dataValidation type="list" allowBlank="1" showInputMessage="1" showErrorMessage="1" sqref="C29 E29 G29 I29" xr:uid="{00000000-0002-0000-2A00-000009000000}">
      <formula1>有无电梯</formula1>
    </dataValidation>
    <dataValidation type="list" allowBlank="1" showInputMessage="1" showErrorMessage="1" sqref="C31 E31 G31 I31" xr:uid="{00000000-0002-0000-2A00-00000A000000}">
      <formula1>是否封闭</formula1>
    </dataValidation>
    <dataValidation type="list" allowBlank="1" showInputMessage="1" showErrorMessage="1" sqref="B1" xr:uid="{00000000-0002-0000-2A00-00000B000000}">
      <formula1>地类判定</formula1>
    </dataValidation>
    <dataValidation type="list" allowBlank="1" showInputMessage="1" showErrorMessage="1" sqref="C28 E28 G28 I28" xr:uid="{00000000-0002-0000-2A00-00000C000000}">
      <formula1>仓储物业等级</formula1>
    </dataValidation>
    <dataValidation type="list" allowBlank="1" showInputMessage="1" showErrorMessage="1" sqref="C19 E19 G19 I19" xr:uid="{00000000-0002-0000-2A00-00000D000000}">
      <formula1>基础设施水平</formula1>
    </dataValidation>
    <dataValidation type="list" allowBlank="1" showInputMessage="1" showErrorMessage="1" sqref="F1" xr:uid="{00000000-0002-0000-2A00-00000E000000}">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tabColor rgb="FF92D050"/>
  </sheetPr>
  <dimension ref="A1:AS682"/>
  <sheetViews>
    <sheetView zoomScale="90" zoomScaleNormal="90" workbookViewId="0">
      <pane ySplit="24" topLeftCell="A25" activePane="bottomLeft" state="frozen"/>
      <selection activeCell="C89" sqref="C89:G96"/>
      <selection pane="bottomLeft" activeCell="C89" sqref="C89:G96"/>
    </sheetView>
  </sheetViews>
  <sheetFormatPr defaultColWidth="9" defaultRowHeight="13.2"/>
  <cols>
    <col min="1" max="1" width="11.44140625" style="1246"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1"/>
    <col min="19" max="19" width="9" style="1246"/>
    <col min="20" max="35" width="9" style="257"/>
    <col min="36" max="16384" width="9" style="1246"/>
  </cols>
  <sheetData>
    <row r="1" spans="1:45" s="257" customFormat="1" ht="14.25" customHeight="1" thickBot="1">
      <c r="A1" s="365"/>
      <c r="B1" s="2217" t="s">
        <v>2300</v>
      </c>
      <c r="C1" s="3625" t="s">
        <v>2301</v>
      </c>
      <c r="D1" s="3626"/>
      <c r="E1" s="3626"/>
      <c r="F1" s="3626"/>
      <c r="G1" s="3626"/>
      <c r="H1" s="3626"/>
      <c r="I1" s="3626"/>
      <c r="J1" s="3626"/>
      <c r="K1" s="3626"/>
      <c r="L1" s="3626"/>
      <c r="M1" s="3626"/>
      <c r="N1" s="3626"/>
      <c r="O1" s="3626"/>
      <c r="P1" s="3626"/>
      <c r="Q1" s="3626"/>
      <c r="R1" s="3626"/>
      <c r="S1" s="3627"/>
      <c r="T1" s="2217" t="s">
        <v>2302</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9" t="s">
        <v>2303</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19" t="str">
        <f>S3&amp;"(含)"&amp;"-"</f>
        <v>(含)-</v>
      </c>
      <c r="T2" s="952"/>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3"/>
      <c r="C3" s="954"/>
      <c r="D3" s="955"/>
      <c r="E3" s="955"/>
      <c r="F3" s="955"/>
      <c r="G3" s="955"/>
      <c r="H3" s="955"/>
      <c r="I3" s="955"/>
      <c r="J3" s="956"/>
      <c r="K3" s="956"/>
      <c r="L3" s="957"/>
      <c r="M3" s="2222"/>
      <c r="N3" s="2223"/>
      <c r="O3" s="955"/>
      <c r="P3" s="955"/>
      <c r="Q3" s="955"/>
      <c r="R3" s="955"/>
      <c r="S3" s="2224"/>
      <c r="T3" s="958"/>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8"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6" t="s">
        <v>2922</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8"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38" t="s">
        <v>2921</v>
      </c>
      <c r="C7" s="1944"/>
      <c r="D7" s="1945"/>
      <c r="E7" s="1945"/>
      <c r="F7" s="1945"/>
      <c r="G7" s="1945"/>
      <c r="H7" s="1945"/>
      <c r="I7" s="1945"/>
      <c r="J7" s="1945"/>
      <c r="K7" s="1945"/>
      <c r="L7" s="1945"/>
      <c r="M7" s="2242"/>
      <c r="N7" s="2243"/>
      <c r="O7" s="2244"/>
      <c r="P7" s="2245"/>
      <c r="Q7" s="2246"/>
      <c r="R7" s="2247"/>
      <c r="S7" s="2248"/>
      <c r="T7" s="959"/>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8"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38" t="s">
        <v>2920</v>
      </c>
      <c r="C9" s="1944"/>
      <c r="D9" s="1945"/>
      <c r="E9" s="1945"/>
      <c r="F9" s="1945"/>
      <c r="G9" s="1945"/>
      <c r="H9" s="1945"/>
      <c r="I9" s="1945"/>
      <c r="J9" s="1945"/>
      <c r="K9" s="1945"/>
      <c r="L9" s="1946"/>
      <c r="M9" s="2242"/>
      <c r="N9" s="2243"/>
      <c r="O9" s="2244"/>
      <c r="P9" s="2245"/>
      <c r="Q9" s="2246"/>
      <c r="R9" s="2247"/>
      <c r="S9" s="2248"/>
      <c r="T9" s="959"/>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8" thickBot="1">
      <c r="A10" s="2234"/>
      <c r="B10" s="3037"/>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6" t="s">
        <v>2933</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8"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6" t="s">
        <v>2919</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8"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6" t="s">
        <v>2918</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8"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2304</v>
      </c>
      <c r="B17" s="2261" t="s">
        <v>2305</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8"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11"/>
      <c r="B19" s="948"/>
      <c r="C19" s="1973"/>
      <c r="D19" s="1973"/>
      <c r="E19" s="1973"/>
      <c r="F19" s="1973"/>
      <c r="G19" s="1973"/>
      <c r="H19" s="1973"/>
      <c r="I19" s="1973"/>
      <c r="J19" s="1973"/>
      <c r="K19" s="1973"/>
      <c r="L19" s="1973"/>
      <c r="M19" s="1973"/>
      <c r="N19" s="1973"/>
      <c r="O19" s="1973"/>
      <c r="P19" s="1973"/>
      <c r="Q19" s="1973"/>
      <c r="R19" s="2208"/>
      <c r="S19" s="2011"/>
    </row>
    <row r="20" spans="1:45" ht="15.6">
      <c r="A20" s="960" t="s">
        <v>828</v>
      </c>
      <c r="B20" s="775">
        <f>S22</f>
        <v>0</v>
      </c>
      <c r="C20" s="1973"/>
      <c r="D20" s="1973"/>
      <c r="E20" s="1973"/>
      <c r="F20" s="1973"/>
      <c r="G20" s="1973"/>
      <c r="H20" s="1973"/>
      <c r="I20" s="1973"/>
      <c r="J20" s="1973"/>
      <c r="K20" s="1973"/>
      <c r="L20" s="1973"/>
      <c r="M20" s="1973"/>
      <c r="N20" s="1973"/>
      <c r="O20" s="1973"/>
      <c r="P20" s="1973"/>
      <c r="Q20" s="1973"/>
      <c r="R20" s="2208"/>
      <c r="S20" s="2011"/>
    </row>
    <row r="21" spans="1:45" ht="15.6">
      <c r="A21" s="960" t="s">
        <v>829</v>
      </c>
      <c r="B21" s="775" t="e">
        <f>R22</f>
        <v>#DIV/0!</v>
      </c>
      <c r="C21" s="1973"/>
      <c r="D21" s="1973"/>
      <c r="E21" s="1973"/>
      <c r="F21" s="1973"/>
      <c r="G21" s="1973"/>
      <c r="H21" s="1973"/>
      <c r="I21" s="1973"/>
      <c r="J21" s="1973"/>
      <c r="K21" s="1973"/>
      <c r="L21" s="1973"/>
      <c r="M21" s="1973"/>
      <c r="N21" s="1973"/>
      <c r="O21" s="1973"/>
      <c r="P21" s="1973"/>
      <c r="Q21" s="1973"/>
      <c r="R21" s="2208"/>
      <c r="S21" s="2011"/>
    </row>
    <row r="22" spans="1:45">
      <c r="A22" s="799" t="s">
        <v>830</v>
      </c>
      <c r="B22" s="53">
        <f>SUM(B24:B10000)</f>
        <v>0</v>
      </c>
      <c r="C22" s="3622" t="s">
        <v>20</v>
      </c>
      <c r="D22" s="3623"/>
      <c r="E22" s="3623"/>
      <c r="F22" s="3623"/>
      <c r="G22" s="3623"/>
      <c r="H22" s="3623"/>
      <c r="I22" s="3623"/>
      <c r="J22" s="3623"/>
      <c r="K22" s="3623"/>
      <c r="L22" s="3623"/>
      <c r="M22" s="3623"/>
      <c r="N22" s="3623"/>
      <c r="O22" s="3623"/>
      <c r="P22" s="3623"/>
      <c r="Q22" s="3624"/>
      <c r="R22" s="490" t="e">
        <f>ROUND(S22*10000/B22,0)</f>
        <v>#DIV/0!</v>
      </c>
      <c r="S22" s="53">
        <f>SUM(S24:S10000)</f>
        <v>0</v>
      </c>
    </row>
    <row r="23" spans="1:45" s="1599"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0"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09"/>
      <c r="S525" s="257"/>
    </row>
    <row r="526" spans="1:19">
      <c r="A526" s="257"/>
      <c r="B526" s="57"/>
      <c r="C526" s="57"/>
      <c r="D526" s="57"/>
      <c r="E526" s="57"/>
      <c r="F526" s="57"/>
      <c r="G526" s="57"/>
      <c r="H526" s="57"/>
      <c r="I526" s="57"/>
      <c r="J526" s="57"/>
      <c r="K526" s="57"/>
      <c r="L526" s="57"/>
      <c r="M526" s="57"/>
      <c r="N526" s="57"/>
      <c r="O526" s="57"/>
      <c r="P526" s="57"/>
      <c r="Q526" s="57"/>
      <c r="R526" s="2209"/>
      <c r="S526" s="257"/>
    </row>
    <row r="527" spans="1:19">
      <c r="A527" s="257"/>
      <c r="B527" s="57"/>
      <c r="C527" s="57"/>
      <c r="D527" s="57"/>
      <c r="E527" s="57"/>
      <c r="F527" s="57"/>
      <c r="G527" s="57"/>
      <c r="H527" s="57"/>
      <c r="I527" s="57"/>
      <c r="J527" s="57"/>
      <c r="K527" s="57"/>
      <c r="L527" s="57"/>
      <c r="M527" s="57"/>
      <c r="N527" s="57"/>
      <c r="O527" s="57"/>
      <c r="P527" s="57"/>
      <c r="Q527" s="57"/>
      <c r="R527" s="2209"/>
      <c r="S527" s="257"/>
    </row>
    <row r="528" spans="1:19">
      <c r="A528" s="257"/>
      <c r="B528" s="57"/>
      <c r="C528" s="57"/>
      <c r="D528" s="57"/>
      <c r="E528" s="57"/>
      <c r="F528" s="57"/>
      <c r="G528" s="57"/>
      <c r="H528" s="57"/>
      <c r="I528" s="57"/>
      <c r="J528" s="57"/>
      <c r="K528" s="57"/>
      <c r="L528" s="57"/>
      <c r="M528" s="57"/>
      <c r="N528" s="57"/>
      <c r="O528" s="57"/>
      <c r="P528" s="57"/>
      <c r="Q528" s="57"/>
      <c r="R528" s="2209"/>
      <c r="S528" s="257"/>
    </row>
    <row r="529" spans="1:19">
      <c r="A529" s="257"/>
      <c r="B529" s="57"/>
      <c r="C529" s="57"/>
      <c r="D529" s="57"/>
      <c r="E529" s="57"/>
      <c r="F529" s="57"/>
      <c r="G529" s="57"/>
      <c r="H529" s="57"/>
      <c r="I529" s="57"/>
      <c r="J529" s="57"/>
      <c r="K529" s="57"/>
      <c r="L529" s="57"/>
      <c r="M529" s="57"/>
      <c r="N529" s="57"/>
      <c r="O529" s="57"/>
      <c r="P529" s="57"/>
      <c r="Q529" s="57"/>
      <c r="R529" s="2209"/>
      <c r="S529" s="257"/>
    </row>
    <row r="530" spans="1:19">
      <c r="A530" s="257"/>
      <c r="B530" s="57"/>
      <c r="C530" s="57"/>
      <c r="D530" s="57"/>
      <c r="E530" s="57"/>
      <c r="F530" s="57"/>
      <c r="G530" s="57"/>
      <c r="H530" s="57"/>
      <c r="I530" s="57"/>
      <c r="J530" s="57"/>
      <c r="K530" s="57"/>
      <c r="L530" s="57"/>
      <c r="M530" s="57"/>
      <c r="N530" s="57"/>
      <c r="O530" s="57"/>
      <c r="P530" s="57"/>
      <c r="Q530" s="57"/>
      <c r="R530" s="2209"/>
      <c r="S530" s="257"/>
    </row>
    <row r="531" spans="1:19">
      <c r="A531" s="257"/>
      <c r="B531" s="57"/>
      <c r="C531" s="57"/>
      <c r="D531" s="57"/>
      <c r="E531" s="57"/>
      <c r="F531" s="57"/>
      <c r="G531" s="57"/>
      <c r="H531" s="57"/>
      <c r="I531" s="57"/>
      <c r="J531" s="57"/>
      <c r="K531" s="57"/>
      <c r="L531" s="57"/>
      <c r="M531" s="57"/>
      <c r="N531" s="57"/>
      <c r="O531" s="57"/>
      <c r="P531" s="57"/>
      <c r="Q531" s="57"/>
      <c r="R531" s="2209"/>
      <c r="S531" s="257"/>
    </row>
    <row r="532" spans="1:19">
      <c r="A532" s="257"/>
      <c r="B532" s="57"/>
      <c r="C532" s="57"/>
      <c r="D532" s="57"/>
      <c r="E532" s="57"/>
      <c r="F532" s="57"/>
      <c r="G532" s="57"/>
      <c r="H532" s="57"/>
      <c r="I532" s="57"/>
      <c r="J532" s="57"/>
      <c r="K532" s="57"/>
      <c r="L532" s="57"/>
      <c r="M532" s="57"/>
      <c r="N532" s="57"/>
      <c r="O532" s="57"/>
      <c r="P532" s="57"/>
      <c r="Q532" s="57"/>
      <c r="R532" s="2209"/>
      <c r="S532" s="257"/>
    </row>
    <row r="533" spans="1:19">
      <c r="A533" s="257"/>
      <c r="B533" s="57"/>
      <c r="C533" s="57"/>
      <c r="D533" s="57"/>
      <c r="E533" s="57"/>
      <c r="F533" s="57"/>
      <c r="G533" s="57"/>
      <c r="H533" s="57"/>
      <c r="I533" s="57"/>
      <c r="J533" s="57"/>
      <c r="K533" s="57"/>
      <c r="L533" s="57"/>
      <c r="M533" s="57"/>
      <c r="N533" s="57"/>
      <c r="O533" s="57"/>
      <c r="P533" s="57"/>
      <c r="Q533" s="57"/>
      <c r="R533" s="2209"/>
      <c r="S533" s="257"/>
    </row>
    <row r="534" spans="1:19">
      <c r="A534" s="257"/>
      <c r="B534" s="57"/>
      <c r="C534" s="57"/>
      <c r="D534" s="57"/>
      <c r="E534" s="57"/>
      <c r="F534" s="57"/>
      <c r="G534" s="57"/>
      <c r="H534" s="57"/>
      <c r="I534" s="57"/>
      <c r="J534" s="57"/>
      <c r="K534" s="57"/>
      <c r="L534" s="57"/>
      <c r="M534" s="57"/>
      <c r="N534" s="57"/>
      <c r="O534" s="57"/>
      <c r="P534" s="57"/>
      <c r="Q534" s="57"/>
      <c r="R534" s="2209"/>
      <c r="S534" s="257"/>
    </row>
    <row r="535" spans="1:19">
      <c r="A535" s="257"/>
      <c r="B535" s="57"/>
      <c r="C535" s="57"/>
      <c r="D535" s="57"/>
      <c r="E535" s="57"/>
      <c r="F535" s="57"/>
      <c r="G535" s="57"/>
      <c r="H535" s="57"/>
      <c r="I535" s="57"/>
      <c r="J535" s="57"/>
      <c r="K535" s="57"/>
      <c r="L535" s="57"/>
      <c r="M535" s="57"/>
      <c r="N535" s="57"/>
      <c r="O535" s="57"/>
      <c r="P535" s="57"/>
      <c r="Q535" s="57"/>
      <c r="R535" s="2209"/>
      <c r="S535" s="257"/>
    </row>
    <row r="536" spans="1:19">
      <c r="A536" s="257"/>
      <c r="B536" s="57"/>
      <c r="C536" s="57"/>
      <c r="D536" s="57"/>
      <c r="E536" s="57"/>
      <c r="F536" s="57"/>
      <c r="G536" s="57"/>
      <c r="H536" s="57"/>
      <c r="I536" s="57"/>
      <c r="J536" s="57"/>
      <c r="K536" s="57"/>
      <c r="L536" s="57"/>
      <c r="M536" s="57"/>
      <c r="N536" s="57"/>
      <c r="O536" s="57"/>
      <c r="P536" s="57"/>
      <c r="Q536" s="57"/>
      <c r="R536" s="2209"/>
      <c r="S536" s="257"/>
    </row>
    <row r="537" spans="1:19">
      <c r="A537" s="257"/>
      <c r="B537" s="57"/>
      <c r="C537" s="57"/>
      <c r="D537" s="57"/>
      <c r="E537" s="57"/>
      <c r="F537" s="57"/>
      <c r="G537" s="57"/>
      <c r="H537" s="57"/>
      <c r="I537" s="57"/>
      <c r="J537" s="57"/>
      <c r="K537" s="57"/>
      <c r="L537" s="57"/>
      <c r="M537" s="57"/>
      <c r="N537" s="57"/>
      <c r="O537" s="57"/>
      <c r="P537" s="57"/>
      <c r="Q537" s="57"/>
      <c r="R537" s="2209"/>
      <c r="S537" s="257"/>
    </row>
    <row r="538" spans="1:19">
      <c r="A538" s="257"/>
      <c r="B538" s="57"/>
      <c r="C538" s="57"/>
      <c r="D538" s="57"/>
      <c r="E538" s="57"/>
      <c r="F538" s="57"/>
      <c r="G538" s="57"/>
      <c r="H538" s="57"/>
      <c r="I538" s="57"/>
      <c r="J538" s="57"/>
      <c r="K538" s="57"/>
      <c r="L538" s="57"/>
      <c r="M538" s="57"/>
      <c r="N538" s="57"/>
      <c r="O538" s="57"/>
      <c r="P538" s="57"/>
      <c r="Q538" s="57"/>
      <c r="R538" s="2209"/>
      <c r="S538" s="257"/>
    </row>
    <row r="539" spans="1:19">
      <c r="A539" s="257"/>
      <c r="B539" s="57"/>
      <c r="C539" s="57"/>
      <c r="D539" s="57"/>
      <c r="E539" s="57"/>
      <c r="F539" s="57"/>
      <c r="G539" s="57"/>
      <c r="H539" s="57"/>
      <c r="I539" s="57"/>
      <c r="J539" s="57"/>
      <c r="K539" s="57"/>
      <c r="L539" s="57"/>
      <c r="M539" s="57"/>
      <c r="N539" s="57"/>
      <c r="O539" s="57"/>
      <c r="P539" s="57"/>
      <c r="Q539" s="57"/>
      <c r="R539" s="2209"/>
      <c r="S539" s="257"/>
    </row>
    <row r="540" spans="1:19">
      <c r="A540" s="257"/>
      <c r="B540" s="57"/>
      <c r="C540" s="57"/>
      <c r="D540" s="57"/>
      <c r="E540" s="57"/>
      <c r="F540" s="57"/>
      <c r="G540" s="57"/>
      <c r="H540" s="57"/>
      <c r="I540" s="57"/>
      <c r="J540" s="57"/>
      <c r="K540" s="57"/>
      <c r="L540" s="57"/>
      <c r="M540" s="57"/>
      <c r="N540" s="57"/>
      <c r="O540" s="57"/>
      <c r="P540" s="57"/>
      <c r="Q540" s="57"/>
      <c r="R540" s="2209"/>
      <c r="S540" s="257"/>
    </row>
    <row r="541" spans="1:19">
      <c r="A541" s="257"/>
      <c r="B541" s="57"/>
      <c r="C541" s="57"/>
      <c r="D541" s="57"/>
      <c r="E541" s="57"/>
      <c r="F541" s="57"/>
      <c r="G541" s="57"/>
      <c r="H541" s="57"/>
      <c r="I541" s="57"/>
      <c r="J541" s="57"/>
      <c r="K541" s="57"/>
      <c r="L541" s="57"/>
      <c r="M541" s="57"/>
      <c r="N541" s="57"/>
      <c r="O541" s="57"/>
      <c r="P541" s="57"/>
      <c r="Q541" s="57"/>
      <c r="R541" s="2209"/>
      <c r="S541" s="257"/>
    </row>
    <row r="542" spans="1:19">
      <c r="A542" s="257"/>
      <c r="B542" s="57"/>
      <c r="C542" s="57"/>
      <c r="D542" s="57"/>
      <c r="E542" s="57"/>
      <c r="F542" s="57"/>
      <c r="G542" s="57"/>
      <c r="H542" s="57"/>
      <c r="I542" s="57"/>
      <c r="J542" s="57"/>
      <c r="K542" s="57"/>
      <c r="L542" s="57"/>
      <c r="M542" s="57"/>
      <c r="N542" s="57"/>
      <c r="O542" s="57"/>
      <c r="P542" s="57"/>
      <c r="Q542" s="57"/>
      <c r="R542" s="2209"/>
      <c r="S542" s="257"/>
    </row>
    <row r="543" spans="1:19">
      <c r="A543" s="257"/>
      <c r="B543" s="57"/>
      <c r="C543" s="57"/>
      <c r="D543" s="57"/>
      <c r="E543" s="57"/>
      <c r="F543" s="57"/>
      <c r="G543" s="57"/>
      <c r="H543" s="57"/>
      <c r="I543" s="57"/>
      <c r="J543" s="57"/>
      <c r="K543" s="57"/>
      <c r="L543" s="57"/>
      <c r="M543" s="57"/>
      <c r="N543" s="57"/>
      <c r="O543" s="57"/>
      <c r="P543" s="57"/>
      <c r="Q543" s="57"/>
      <c r="R543" s="2209"/>
      <c r="S543" s="257"/>
    </row>
    <row r="544" spans="1:19">
      <c r="A544" s="257"/>
      <c r="B544" s="57"/>
      <c r="C544" s="57"/>
      <c r="D544" s="57"/>
      <c r="E544" s="57"/>
      <c r="F544" s="57"/>
      <c r="G544" s="57"/>
      <c r="H544" s="57"/>
      <c r="I544" s="57"/>
      <c r="J544" s="57"/>
      <c r="K544" s="57"/>
      <c r="L544" s="57"/>
      <c r="M544" s="57"/>
      <c r="N544" s="57"/>
      <c r="O544" s="57"/>
      <c r="P544" s="57"/>
      <c r="Q544" s="57"/>
      <c r="R544" s="2209"/>
      <c r="S544" s="257"/>
    </row>
    <row r="545" spans="1:19">
      <c r="A545" s="257"/>
      <c r="B545" s="57"/>
      <c r="C545" s="57"/>
      <c r="D545" s="57"/>
      <c r="E545" s="57"/>
      <c r="F545" s="57"/>
      <c r="G545" s="57"/>
      <c r="H545" s="57"/>
      <c r="I545" s="57"/>
      <c r="J545" s="57"/>
      <c r="K545" s="57"/>
      <c r="L545" s="57"/>
      <c r="M545" s="57"/>
      <c r="N545" s="57"/>
      <c r="O545" s="57"/>
      <c r="P545" s="57"/>
      <c r="Q545" s="57"/>
      <c r="R545" s="2209"/>
      <c r="S545" s="257"/>
    </row>
    <row r="546" spans="1:19">
      <c r="A546" s="257"/>
      <c r="B546" s="57"/>
      <c r="C546" s="57"/>
      <c r="D546" s="57"/>
      <c r="E546" s="57"/>
      <c r="F546" s="57"/>
      <c r="G546" s="57"/>
      <c r="H546" s="57"/>
      <c r="I546" s="57"/>
      <c r="J546" s="57"/>
      <c r="K546" s="57"/>
      <c r="L546" s="57"/>
      <c r="M546" s="57"/>
      <c r="N546" s="57"/>
      <c r="O546" s="57"/>
      <c r="P546" s="57"/>
      <c r="Q546" s="57"/>
      <c r="R546" s="2209"/>
      <c r="S546" s="257"/>
    </row>
    <row r="547" spans="1:19">
      <c r="A547" s="257"/>
      <c r="B547" s="57"/>
      <c r="C547" s="57"/>
      <c r="D547" s="57"/>
      <c r="E547" s="57"/>
      <c r="F547" s="57"/>
      <c r="G547" s="57"/>
      <c r="H547" s="57"/>
      <c r="I547" s="57"/>
      <c r="J547" s="57"/>
      <c r="K547" s="57"/>
      <c r="L547" s="57"/>
      <c r="M547" s="57"/>
      <c r="N547" s="57"/>
      <c r="O547" s="57"/>
      <c r="P547" s="57"/>
      <c r="Q547" s="57"/>
      <c r="R547" s="2209"/>
      <c r="S547" s="257"/>
    </row>
    <row r="548" spans="1:19">
      <c r="A548" s="257"/>
      <c r="B548" s="57"/>
      <c r="C548" s="57"/>
      <c r="D548" s="57"/>
      <c r="E548" s="57"/>
      <c r="F548" s="57"/>
      <c r="G548" s="57"/>
      <c r="H548" s="57"/>
      <c r="I548" s="57"/>
      <c r="J548" s="57"/>
      <c r="K548" s="57"/>
      <c r="L548" s="57"/>
      <c r="M548" s="57"/>
      <c r="N548" s="57"/>
      <c r="O548" s="57"/>
      <c r="P548" s="57"/>
      <c r="Q548" s="57"/>
      <c r="R548" s="2209"/>
      <c r="S548" s="257"/>
    </row>
    <row r="549" spans="1:19">
      <c r="A549" s="257"/>
      <c r="B549" s="57"/>
      <c r="C549" s="57"/>
      <c r="D549" s="57"/>
      <c r="E549" s="57"/>
      <c r="F549" s="57"/>
      <c r="G549" s="57"/>
      <c r="H549" s="57"/>
      <c r="I549" s="57"/>
      <c r="J549" s="57"/>
      <c r="K549" s="57"/>
      <c r="L549" s="57"/>
      <c r="M549" s="57"/>
      <c r="N549" s="57"/>
      <c r="O549" s="57"/>
      <c r="P549" s="57"/>
      <c r="Q549" s="57"/>
      <c r="R549" s="2209"/>
      <c r="S549" s="257"/>
    </row>
    <row r="550" spans="1:19">
      <c r="A550" s="257"/>
      <c r="B550" s="57"/>
      <c r="C550" s="57"/>
      <c r="D550" s="57"/>
      <c r="E550" s="57"/>
      <c r="F550" s="57"/>
      <c r="G550" s="57"/>
      <c r="H550" s="57"/>
      <c r="I550" s="57"/>
      <c r="J550" s="57"/>
      <c r="K550" s="57"/>
      <c r="L550" s="57"/>
      <c r="M550" s="57"/>
      <c r="N550" s="57"/>
      <c r="O550" s="57"/>
      <c r="P550" s="57"/>
      <c r="Q550" s="57"/>
      <c r="R550" s="2209"/>
      <c r="S550" s="257"/>
    </row>
    <row r="551" spans="1:19">
      <c r="A551" s="257"/>
      <c r="B551" s="57"/>
      <c r="C551" s="57"/>
      <c r="D551" s="57"/>
      <c r="E551" s="57"/>
      <c r="F551" s="57"/>
      <c r="G551" s="57"/>
      <c r="H551" s="57"/>
      <c r="I551" s="57"/>
      <c r="J551" s="57"/>
      <c r="K551" s="57"/>
      <c r="L551" s="57"/>
      <c r="M551" s="57"/>
      <c r="N551" s="57"/>
      <c r="O551" s="57"/>
      <c r="P551" s="57"/>
      <c r="Q551" s="57"/>
      <c r="R551" s="2209"/>
      <c r="S551" s="257"/>
    </row>
    <row r="552" spans="1:19">
      <c r="A552" s="257"/>
      <c r="B552" s="57"/>
      <c r="C552" s="57"/>
      <c r="D552" s="57"/>
      <c r="E552" s="57"/>
      <c r="F552" s="57"/>
      <c r="G552" s="57"/>
      <c r="H552" s="57"/>
      <c r="I552" s="57"/>
      <c r="J552" s="57"/>
      <c r="K552" s="57"/>
      <c r="L552" s="57"/>
      <c r="M552" s="57"/>
      <c r="N552" s="57"/>
      <c r="O552" s="57"/>
      <c r="P552" s="57"/>
      <c r="Q552" s="57"/>
      <c r="R552" s="2209"/>
      <c r="S552" s="257"/>
    </row>
    <row r="553" spans="1:19">
      <c r="A553" s="257"/>
      <c r="B553" s="57"/>
      <c r="C553" s="57"/>
      <c r="D553" s="57"/>
      <c r="E553" s="57"/>
      <c r="F553" s="57"/>
      <c r="G553" s="57"/>
      <c r="H553" s="57"/>
      <c r="I553" s="57"/>
      <c r="J553" s="57"/>
      <c r="K553" s="57"/>
      <c r="L553" s="57"/>
      <c r="M553" s="57"/>
      <c r="N553" s="57"/>
      <c r="O553" s="57"/>
      <c r="P553" s="57"/>
      <c r="Q553" s="57"/>
      <c r="R553" s="2209"/>
      <c r="S553" s="257"/>
    </row>
    <row r="554" spans="1:19">
      <c r="A554" s="257"/>
      <c r="B554" s="57"/>
      <c r="C554" s="57"/>
      <c r="D554" s="57"/>
      <c r="E554" s="57"/>
      <c r="F554" s="57"/>
      <c r="G554" s="57"/>
      <c r="H554" s="57"/>
      <c r="I554" s="57"/>
      <c r="J554" s="57"/>
      <c r="K554" s="57"/>
      <c r="L554" s="57"/>
      <c r="M554" s="57"/>
      <c r="N554" s="57"/>
      <c r="O554" s="57"/>
      <c r="P554" s="57"/>
      <c r="Q554" s="57"/>
      <c r="R554" s="2209"/>
      <c r="S554" s="257"/>
    </row>
    <row r="555" spans="1:19">
      <c r="A555" s="257"/>
      <c r="B555" s="57"/>
      <c r="C555" s="57"/>
      <c r="D555" s="57"/>
      <c r="E555" s="57"/>
      <c r="F555" s="57"/>
      <c r="G555" s="57"/>
      <c r="H555" s="57"/>
      <c r="I555" s="57"/>
      <c r="J555" s="57"/>
      <c r="K555" s="57"/>
      <c r="L555" s="57"/>
      <c r="M555" s="57"/>
      <c r="N555" s="57"/>
      <c r="O555" s="57"/>
      <c r="P555" s="57"/>
      <c r="Q555" s="57"/>
      <c r="R555" s="2209"/>
      <c r="S555" s="257"/>
    </row>
    <row r="556" spans="1:19">
      <c r="A556" s="257"/>
      <c r="B556" s="57"/>
      <c r="C556" s="57"/>
      <c r="D556" s="57"/>
      <c r="E556" s="57"/>
      <c r="F556" s="57"/>
      <c r="G556" s="57"/>
      <c r="H556" s="57"/>
      <c r="I556" s="57"/>
      <c r="J556" s="57"/>
      <c r="K556" s="57"/>
      <c r="L556" s="57"/>
      <c r="M556" s="57"/>
      <c r="N556" s="57"/>
      <c r="O556" s="57"/>
      <c r="P556" s="57"/>
      <c r="Q556" s="57"/>
      <c r="R556" s="2209"/>
      <c r="S556" s="257"/>
    </row>
    <row r="557" spans="1:19">
      <c r="A557" s="257"/>
      <c r="B557" s="57"/>
      <c r="C557" s="57"/>
      <c r="D557" s="57"/>
      <c r="E557" s="57"/>
      <c r="F557" s="57"/>
      <c r="G557" s="57"/>
      <c r="H557" s="57"/>
      <c r="I557" s="57"/>
      <c r="J557" s="57"/>
      <c r="K557" s="57"/>
      <c r="L557" s="57"/>
      <c r="M557" s="57"/>
      <c r="N557" s="57"/>
      <c r="O557" s="57"/>
      <c r="P557" s="57"/>
      <c r="Q557" s="57"/>
      <c r="R557" s="2209"/>
      <c r="S557" s="257"/>
    </row>
    <row r="558" spans="1:19">
      <c r="A558" s="257"/>
      <c r="B558" s="57"/>
      <c r="C558" s="57"/>
      <c r="D558" s="57"/>
      <c r="E558" s="57"/>
      <c r="F558" s="57"/>
      <c r="G558" s="57"/>
      <c r="H558" s="57"/>
      <c r="I558" s="57"/>
      <c r="J558" s="57"/>
      <c r="K558" s="57"/>
      <c r="L558" s="57"/>
      <c r="M558" s="57"/>
      <c r="N558" s="57"/>
      <c r="O558" s="57"/>
      <c r="P558" s="57"/>
      <c r="Q558" s="57"/>
      <c r="R558" s="2209"/>
      <c r="S558" s="257"/>
    </row>
    <row r="559" spans="1:19">
      <c r="A559" s="257"/>
      <c r="B559" s="57"/>
      <c r="C559" s="57"/>
      <c r="D559" s="57"/>
      <c r="E559" s="57"/>
      <c r="F559" s="57"/>
      <c r="G559" s="57"/>
      <c r="H559" s="57"/>
      <c r="I559" s="57"/>
      <c r="J559" s="57"/>
      <c r="K559" s="57"/>
      <c r="L559" s="57"/>
      <c r="M559" s="57"/>
      <c r="N559" s="57"/>
      <c r="O559" s="57"/>
      <c r="P559" s="57"/>
      <c r="Q559" s="57"/>
      <c r="R559" s="2209"/>
      <c r="S559" s="257"/>
    </row>
    <row r="560" spans="1:19">
      <c r="A560" s="257"/>
      <c r="B560" s="57"/>
      <c r="C560" s="57"/>
      <c r="D560" s="57"/>
      <c r="E560" s="57"/>
      <c r="F560" s="57"/>
      <c r="G560" s="57"/>
      <c r="H560" s="57"/>
      <c r="I560" s="57"/>
      <c r="J560" s="57"/>
      <c r="K560" s="57"/>
      <c r="L560" s="57"/>
      <c r="M560" s="57"/>
      <c r="N560" s="57"/>
      <c r="O560" s="57"/>
      <c r="P560" s="57"/>
      <c r="Q560" s="57"/>
      <c r="R560" s="2209"/>
      <c r="S560" s="257"/>
    </row>
    <row r="561" spans="1:19">
      <c r="A561" s="257"/>
      <c r="B561" s="57"/>
      <c r="C561" s="57"/>
      <c r="D561" s="57"/>
      <c r="E561" s="57"/>
      <c r="F561" s="57"/>
      <c r="G561" s="57"/>
      <c r="H561" s="57"/>
      <c r="I561" s="57"/>
      <c r="J561" s="57"/>
      <c r="K561" s="57"/>
      <c r="L561" s="57"/>
      <c r="M561" s="57"/>
      <c r="N561" s="57"/>
      <c r="O561" s="57"/>
      <c r="P561" s="57"/>
      <c r="Q561" s="57"/>
      <c r="R561" s="2209"/>
      <c r="S561" s="257"/>
    </row>
    <row r="562" spans="1:19">
      <c r="A562" s="257"/>
      <c r="B562" s="57"/>
      <c r="C562" s="57"/>
      <c r="D562" s="57"/>
      <c r="E562" s="57"/>
      <c r="F562" s="57"/>
      <c r="G562" s="57"/>
      <c r="H562" s="57"/>
      <c r="I562" s="57"/>
      <c r="J562" s="57"/>
      <c r="K562" s="57"/>
      <c r="L562" s="57"/>
      <c r="M562" s="57"/>
      <c r="N562" s="57"/>
      <c r="O562" s="57"/>
      <c r="P562" s="57"/>
      <c r="Q562" s="57"/>
      <c r="R562" s="2209"/>
      <c r="S562" s="257"/>
    </row>
    <row r="563" spans="1:19">
      <c r="A563" s="257"/>
      <c r="B563" s="57"/>
      <c r="C563" s="57"/>
      <c r="D563" s="57"/>
      <c r="E563" s="57"/>
      <c r="F563" s="57"/>
      <c r="G563" s="57"/>
      <c r="H563" s="57"/>
      <c r="I563" s="57"/>
      <c r="J563" s="57"/>
      <c r="K563" s="57"/>
      <c r="L563" s="57"/>
      <c r="M563" s="57"/>
      <c r="N563" s="57"/>
      <c r="O563" s="57"/>
      <c r="P563" s="57"/>
      <c r="Q563" s="57"/>
      <c r="R563" s="2209"/>
      <c r="S563" s="257"/>
    </row>
    <row r="564" spans="1:19">
      <c r="A564" s="257"/>
      <c r="B564" s="57"/>
      <c r="C564" s="57"/>
      <c r="D564" s="57"/>
      <c r="E564" s="57"/>
      <c r="F564" s="57"/>
      <c r="G564" s="57"/>
      <c r="H564" s="57"/>
      <c r="I564" s="57"/>
      <c r="J564" s="57"/>
      <c r="K564" s="57"/>
      <c r="L564" s="57"/>
      <c r="M564" s="57"/>
      <c r="N564" s="57"/>
      <c r="O564" s="57"/>
      <c r="P564" s="57"/>
      <c r="Q564" s="57"/>
      <c r="R564" s="2209"/>
      <c r="S564" s="257"/>
    </row>
    <row r="565" spans="1:19">
      <c r="A565" s="257"/>
      <c r="B565" s="57"/>
      <c r="C565" s="57"/>
      <c r="D565" s="57"/>
      <c r="E565" s="57"/>
      <c r="F565" s="57"/>
      <c r="G565" s="57"/>
      <c r="H565" s="57"/>
      <c r="I565" s="57"/>
      <c r="J565" s="57"/>
      <c r="K565" s="57"/>
      <c r="L565" s="57"/>
      <c r="M565" s="57"/>
      <c r="N565" s="57"/>
      <c r="O565" s="57"/>
      <c r="P565" s="57"/>
      <c r="Q565" s="57"/>
      <c r="R565" s="2209"/>
      <c r="S565" s="257"/>
    </row>
    <row r="566" spans="1:19">
      <c r="A566" s="257"/>
      <c r="B566" s="57"/>
      <c r="C566" s="57"/>
      <c r="D566" s="57"/>
      <c r="E566" s="57"/>
      <c r="F566" s="57"/>
      <c r="G566" s="57"/>
      <c r="H566" s="57"/>
      <c r="I566" s="57"/>
      <c r="J566" s="57"/>
      <c r="K566" s="57"/>
      <c r="L566" s="57"/>
      <c r="M566" s="57"/>
      <c r="N566" s="57"/>
      <c r="O566" s="57"/>
      <c r="P566" s="57"/>
      <c r="Q566" s="57"/>
      <c r="R566" s="2209"/>
      <c r="S566" s="257"/>
    </row>
    <row r="567" spans="1:19">
      <c r="A567" s="257"/>
      <c r="B567" s="57"/>
      <c r="C567" s="57"/>
      <c r="D567" s="57"/>
      <c r="E567" s="57"/>
      <c r="F567" s="57"/>
      <c r="G567" s="57"/>
      <c r="H567" s="57"/>
      <c r="I567" s="57"/>
      <c r="J567" s="57"/>
      <c r="K567" s="57"/>
      <c r="L567" s="57"/>
      <c r="M567" s="57"/>
      <c r="N567" s="57"/>
      <c r="O567" s="57"/>
      <c r="P567" s="57"/>
      <c r="Q567" s="57"/>
      <c r="R567" s="2209"/>
      <c r="S567" s="257"/>
    </row>
    <row r="568" spans="1:19">
      <c r="A568" s="257"/>
      <c r="B568" s="57"/>
      <c r="C568" s="57"/>
      <c r="D568" s="57"/>
      <c r="E568" s="57"/>
      <c r="F568" s="57"/>
      <c r="G568" s="57"/>
      <c r="H568" s="57"/>
      <c r="I568" s="57"/>
      <c r="J568" s="57"/>
      <c r="K568" s="57"/>
      <c r="L568" s="57"/>
      <c r="M568" s="57"/>
      <c r="N568" s="57"/>
      <c r="O568" s="57"/>
      <c r="P568" s="57"/>
      <c r="Q568" s="57"/>
      <c r="R568" s="2209"/>
      <c r="S568" s="257"/>
    </row>
    <row r="569" spans="1:19">
      <c r="A569" s="257"/>
      <c r="B569" s="57"/>
      <c r="C569" s="57"/>
      <c r="D569" s="57"/>
      <c r="E569" s="57"/>
      <c r="F569" s="57"/>
      <c r="G569" s="57"/>
      <c r="H569" s="57"/>
      <c r="I569" s="57"/>
      <c r="J569" s="57"/>
      <c r="K569" s="57"/>
      <c r="L569" s="57"/>
      <c r="M569" s="57"/>
      <c r="N569" s="57"/>
      <c r="O569" s="57"/>
      <c r="P569" s="57"/>
      <c r="Q569" s="57"/>
      <c r="R569" s="2209"/>
      <c r="S569" s="257"/>
    </row>
    <row r="570" spans="1:19">
      <c r="A570" s="257"/>
      <c r="B570" s="57"/>
      <c r="C570" s="57"/>
      <c r="D570" s="57"/>
      <c r="E570" s="57"/>
      <c r="F570" s="57"/>
      <c r="G570" s="57"/>
      <c r="H570" s="57"/>
      <c r="I570" s="57"/>
      <c r="J570" s="57"/>
      <c r="K570" s="57"/>
      <c r="L570" s="57"/>
      <c r="M570" s="57"/>
      <c r="N570" s="57"/>
      <c r="O570" s="57"/>
      <c r="P570" s="57"/>
      <c r="Q570" s="57"/>
      <c r="R570" s="2209"/>
      <c r="S570" s="257"/>
    </row>
    <row r="571" spans="1:19">
      <c r="A571" s="257"/>
      <c r="B571" s="57"/>
      <c r="C571" s="57"/>
      <c r="D571" s="57"/>
      <c r="E571" s="57"/>
      <c r="F571" s="57"/>
      <c r="G571" s="57"/>
      <c r="H571" s="57"/>
      <c r="I571" s="57"/>
      <c r="J571" s="57"/>
      <c r="K571" s="57"/>
      <c r="L571" s="57"/>
      <c r="M571" s="57"/>
      <c r="N571" s="57"/>
      <c r="O571" s="57"/>
      <c r="P571" s="57"/>
      <c r="Q571" s="57"/>
      <c r="R571" s="2209"/>
      <c r="S571" s="257"/>
    </row>
    <row r="572" spans="1:19">
      <c r="A572" s="257"/>
      <c r="B572" s="57"/>
      <c r="C572" s="57"/>
      <c r="D572" s="57"/>
      <c r="E572" s="57"/>
      <c r="F572" s="57"/>
      <c r="G572" s="57"/>
      <c r="H572" s="57"/>
      <c r="I572" s="57"/>
      <c r="J572" s="57"/>
      <c r="K572" s="57"/>
      <c r="L572" s="57"/>
      <c r="M572" s="57"/>
      <c r="N572" s="57"/>
      <c r="O572" s="57"/>
      <c r="P572" s="57"/>
      <c r="Q572" s="57"/>
      <c r="R572" s="2209"/>
      <c r="S572" s="257"/>
    </row>
    <row r="573" spans="1:19">
      <c r="A573" s="257"/>
      <c r="B573" s="57"/>
      <c r="C573" s="57"/>
      <c r="D573" s="57"/>
      <c r="E573" s="57"/>
      <c r="F573" s="57"/>
      <c r="G573" s="57"/>
      <c r="H573" s="57"/>
      <c r="I573" s="57"/>
      <c r="J573" s="57"/>
      <c r="K573" s="57"/>
      <c r="L573" s="57"/>
      <c r="M573" s="57"/>
      <c r="N573" s="57"/>
      <c r="O573" s="57"/>
      <c r="P573" s="57"/>
      <c r="Q573" s="57"/>
      <c r="R573" s="2209"/>
      <c r="S573" s="257"/>
    </row>
    <row r="574" spans="1:19">
      <c r="A574" s="257"/>
      <c r="B574" s="57"/>
      <c r="C574" s="57"/>
      <c r="D574" s="57"/>
      <c r="E574" s="57"/>
      <c r="F574" s="57"/>
      <c r="G574" s="57"/>
      <c r="H574" s="57"/>
      <c r="I574" s="57"/>
      <c r="J574" s="57"/>
      <c r="K574" s="57"/>
      <c r="L574" s="57"/>
      <c r="M574" s="57"/>
      <c r="N574" s="57"/>
      <c r="O574" s="57"/>
      <c r="P574" s="57"/>
      <c r="Q574" s="57"/>
      <c r="R574" s="2209"/>
      <c r="S574" s="257"/>
    </row>
    <row r="575" spans="1:19">
      <c r="A575" s="257"/>
      <c r="B575" s="57"/>
      <c r="C575" s="57"/>
      <c r="D575" s="57"/>
      <c r="E575" s="57"/>
      <c r="F575" s="57"/>
      <c r="G575" s="57"/>
      <c r="H575" s="57"/>
      <c r="I575" s="57"/>
      <c r="J575" s="57"/>
      <c r="K575" s="57"/>
      <c r="L575" s="57"/>
      <c r="M575" s="57"/>
      <c r="N575" s="57"/>
      <c r="O575" s="57"/>
      <c r="P575" s="57"/>
      <c r="Q575" s="57"/>
      <c r="R575" s="2209"/>
      <c r="S575" s="257"/>
    </row>
    <row r="576" spans="1:19">
      <c r="A576" s="257"/>
      <c r="B576" s="57"/>
      <c r="C576" s="57"/>
      <c r="D576" s="57"/>
      <c r="E576" s="57"/>
      <c r="F576" s="57"/>
      <c r="G576" s="57"/>
      <c r="H576" s="57"/>
      <c r="I576" s="57"/>
      <c r="J576" s="57"/>
      <c r="K576" s="57"/>
      <c r="L576" s="57"/>
      <c r="M576" s="57"/>
      <c r="N576" s="57"/>
      <c r="O576" s="57"/>
      <c r="P576" s="57"/>
      <c r="Q576" s="57"/>
      <c r="R576" s="2209"/>
      <c r="S576" s="257"/>
    </row>
    <row r="577" spans="1:19">
      <c r="A577" s="257"/>
      <c r="B577" s="57"/>
      <c r="C577" s="57"/>
      <c r="D577" s="57"/>
      <c r="E577" s="57"/>
      <c r="F577" s="57"/>
      <c r="G577" s="57"/>
      <c r="H577" s="57"/>
      <c r="I577" s="57"/>
      <c r="J577" s="57"/>
      <c r="K577" s="57"/>
      <c r="L577" s="57"/>
      <c r="M577" s="57"/>
      <c r="N577" s="57"/>
      <c r="O577" s="57"/>
      <c r="P577" s="57"/>
      <c r="Q577" s="57"/>
      <c r="R577" s="2209"/>
      <c r="S577" s="257"/>
    </row>
    <row r="578" spans="1:19">
      <c r="A578" s="257"/>
      <c r="B578" s="57"/>
      <c r="C578" s="57"/>
      <c r="D578" s="57"/>
      <c r="E578" s="57"/>
      <c r="F578" s="57"/>
      <c r="G578" s="57"/>
      <c r="H578" s="57"/>
      <c r="I578" s="57"/>
      <c r="J578" s="57"/>
      <c r="K578" s="57"/>
      <c r="L578" s="57"/>
      <c r="M578" s="57"/>
      <c r="N578" s="57"/>
      <c r="O578" s="57"/>
      <c r="P578" s="57"/>
      <c r="Q578" s="57"/>
      <c r="R578" s="2209"/>
      <c r="S578" s="257"/>
    </row>
    <row r="579" spans="1:19">
      <c r="A579" s="257"/>
      <c r="B579" s="57"/>
      <c r="C579" s="57"/>
      <c r="D579" s="57"/>
      <c r="E579" s="57"/>
      <c r="F579" s="57"/>
      <c r="G579" s="57"/>
      <c r="H579" s="57"/>
      <c r="I579" s="57"/>
      <c r="J579" s="57"/>
      <c r="K579" s="57"/>
      <c r="L579" s="57"/>
      <c r="M579" s="57"/>
      <c r="N579" s="57"/>
      <c r="O579" s="57"/>
      <c r="P579" s="57"/>
      <c r="Q579" s="57"/>
      <c r="R579" s="2209"/>
      <c r="S579" s="257"/>
    </row>
    <row r="580" spans="1:19">
      <c r="A580" s="257"/>
      <c r="B580" s="57"/>
      <c r="C580" s="57"/>
      <c r="D580" s="57"/>
      <c r="E580" s="57"/>
      <c r="F580" s="57"/>
      <c r="G580" s="57"/>
      <c r="H580" s="57"/>
      <c r="I580" s="57"/>
      <c r="J580" s="57"/>
      <c r="K580" s="57"/>
      <c r="L580" s="57"/>
      <c r="M580" s="57"/>
      <c r="N580" s="57"/>
      <c r="O580" s="57"/>
      <c r="P580" s="57"/>
      <c r="Q580" s="57"/>
      <c r="R580" s="2209"/>
      <c r="S580" s="257"/>
    </row>
    <row r="581" spans="1:19">
      <c r="A581" s="257"/>
      <c r="B581" s="57"/>
      <c r="C581" s="57"/>
      <c r="D581" s="57"/>
      <c r="E581" s="57"/>
      <c r="F581" s="57"/>
      <c r="G581" s="57"/>
      <c r="H581" s="57"/>
      <c r="I581" s="57"/>
      <c r="J581" s="57"/>
      <c r="K581" s="57"/>
      <c r="L581" s="57"/>
      <c r="M581" s="57"/>
      <c r="N581" s="57"/>
      <c r="O581" s="57"/>
      <c r="P581" s="57"/>
      <c r="Q581" s="57"/>
      <c r="R581" s="2209"/>
      <c r="S581" s="257"/>
    </row>
    <row r="582" spans="1:19">
      <c r="A582" s="257"/>
      <c r="B582" s="57"/>
      <c r="C582" s="57"/>
      <c r="D582" s="57"/>
      <c r="E582" s="57"/>
      <c r="F582" s="57"/>
      <c r="G582" s="57"/>
      <c r="H582" s="57"/>
      <c r="I582" s="57"/>
      <c r="J582" s="57"/>
      <c r="K582" s="57"/>
      <c r="L582" s="57"/>
      <c r="M582" s="57"/>
      <c r="N582" s="57"/>
      <c r="O582" s="57"/>
      <c r="P582" s="57"/>
      <c r="Q582" s="57"/>
      <c r="R582" s="2209"/>
      <c r="S582" s="257"/>
    </row>
    <row r="583" spans="1:19">
      <c r="A583" s="257"/>
      <c r="B583" s="57"/>
      <c r="C583" s="57"/>
      <c r="D583" s="57"/>
      <c r="E583" s="57"/>
      <c r="F583" s="57"/>
      <c r="G583" s="57"/>
      <c r="H583" s="57"/>
      <c r="I583" s="57"/>
      <c r="J583" s="57"/>
      <c r="K583" s="57"/>
      <c r="L583" s="57"/>
      <c r="M583" s="57"/>
      <c r="N583" s="57"/>
      <c r="O583" s="57"/>
      <c r="P583" s="57"/>
      <c r="Q583" s="57"/>
      <c r="R583" s="2209"/>
      <c r="S583" s="257"/>
    </row>
    <row r="584" spans="1:19">
      <c r="A584" s="257"/>
      <c r="B584" s="57"/>
      <c r="C584" s="57"/>
      <c r="D584" s="57"/>
      <c r="E584" s="57"/>
      <c r="F584" s="57"/>
      <c r="G584" s="57"/>
      <c r="H584" s="57"/>
      <c r="I584" s="57"/>
      <c r="J584" s="57"/>
      <c r="K584" s="57"/>
      <c r="L584" s="57"/>
      <c r="M584" s="57"/>
      <c r="N584" s="57"/>
      <c r="O584" s="57"/>
      <c r="P584" s="57"/>
      <c r="Q584" s="57"/>
      <c r="R584" s="2209"/>
      <c r="S584" s="257"/>
    </row>
    <row r="585" spans="1:19">
      <c r="A585" s="257"/>
      <c r="B585" s="57"/>
      <c r="C585" s="57"/>
      <c r="D585" s="57"/>
      <c r="E585" s="57"/>
      <c r="F585" s="57"/>
      <c r="G585" s="57"/>
      <c r="H585" s="57"/>
      <c r="I585" s="57"/>
      <c r="J585" s="57"/>
      <c r="K585" s="57"/>
      <c r="L585" s="57"/>
      <c r="M585" s="57"/>
      <c r="N585" s="57"/>
      <c r="O585" s="57"/>
      <c r="P585" s="57"/>
      <c r="Q585" s="57"/>
      <c r="R585" s="2209"/>
      <c r="S585" s="257"/>
    </row>
    <row r="586" spans="1:19">
      <c r="A586" s="257"/>
      <c r="B586" s="57"/>
      <c r="C586" s="57"/>
      <c r="D586" s="57"/>
      <c r="E586" s="57"/>
      <c r="F586" s="57"/>
      <c r="G586" s="57"/>
      <c r="H586" s="57"/>
      <c r="I586" s="57"/>
      <c r="J586" s="57"/>
      <c r="K586" s="57"/>
      <c r="L586" s="57"/>
      <c r="M586" s="57"/>
      <c r="N586" s="57"/>
      <c r="O586" s="57"/>
      <c r="P586" s="57"/>
      <c r="Q586" s="57"/>
      <c r="R586" s="2209"/>
      <c r="S586" s="257"/>
    </row>
    <row r="587" spans="1:19">
      <c r="A587" s="257"/>
      <c r="B587" s="57"/>
      <c r="C587" s="57"/>
      <c r="D587" s="57"/>
      <c r="E587" s="57"/>
      <c r="F587" s="57"/>
      <c r="G587" s="57"/>
      <c r="H587" s="57"/>
      <c r="I587" s="57"/>
      <c r="J587" s="57"/>
      <c r="K587" s="57"/>
      <c r="L587" s="57"/>
      <c r="M587" s="57"/>
      <c r="N587" s="57"/>
      <c r="O587" s="57"/>
      <c r="P587" s="57"/>
      <c r="Q587" s="57"/>
      <c r="R587" s="2209"/>
      <c r="S587" s="257"/>
    </row>
    <row r="588" spans="1:19">
      <c r="A588" s="257"/>
      <c r="B588" s="57"/>
      <c r="C588" s="57"/>
      <c r="D588" s="57"/>
      <c r="E588" s="57"/>
      <c r="F588" s="57"/>
      <c r="G588" s="57"/>
      <c r="H588" s="57"/>
      <c r="I588" s="57"/>
      <c r="J588" s="57"/>
      <c r="K588" s="57"/>
      <c r="L588" s="57"/>
      <c r="M588" s="57"/>
      <c r="N588" s="57"/>
      <c r="O588" s="57"/>
      <c r="P588" s="57"/>
      <c r="Q588" s="57"/>
      <c r="R588" s="2209"/>
      <c r="S588" s="257"/>
    </row>
    <row r="589" spans="1:19">
      <c r="A589" s="257"/>
      <c r="B589" s="57"/>
      <c r="C589" s="57"/>
      <c r="D589" s="57"/>
      <c r="E589" s="57"/>
      <c r="F589" s="57"/>
      <c r="G589" s="57"/>
      <c r="H589" s="57"/>
      <c r="I589" s="57"/>
      <c r="J589" s="57"/>
      <c r="K589" s="57"/>
      <c r="L589" s="57"/>
      <c r="M589" s="57"/>
      <c r="N589" s="57"/>
      <c r="O589" s="57"/>
      <c r="P589" s="57"/>
      <c r="Q589" s="57"/>
      <c r="R589" s="2209"/>
      <c r="S589" s="257"/>
    </row>
    <row r="590" spans="1:19">
      <c r="A590" s="257"/>
      <c r="B590" s="57"/>
      <c r="C590" s="57"/>
      <c r="D590" s="57"/>
      <c r="E590" s="57"/>
      <c r="F590" s="57"/>
      <c r="G590" s="57"/>
      <c r="H590" s="57"/>
      <c r="I590" s="57"/>
      <c r="J590" s="57"/>
      <c r="K590" s="57"/>
      <c r="L590" s="57"/>
      <c r="M590" s="57"/>
      <c r="N590" s="57"/>
      <c r="O590" s="57"/>
      <c r="P590" s="57"/>
      <c r="Q590" s="57"/>
      <c r="R590" s="2209"/>
      <c r="S590" s="257"/>
    </row>
    <row r="591" spans="1:19">
      <c r="A591" s="257"/>
      <c r="B591" s="57"/>
      <c r="C591" s="57"/>
      <c r="D591" s="57"/>
      <c r="E591" s="57"/>
      <c r="F591" s="57"/>
      <c r="G591" s="57"/>
      <c r="H591" s="57"/>
      <c r="I591" s="57"/>
      <c r="J591" s="57"/>
      <c r="K591" s="57"/>
      <c r="L591" s="57"/>
      <c r="M591" s="57"/>
      <c r="N591" s="57"/>
      <c r="O591" s="57"/>
      <c r="P591" s="57"/>
      <c r="Q591" s="57"/>
      <c r="R591" s="2209"/>
      <c r="S591" s="257"/>
    </row>
    <row r="592" spans="1:19">
      <c r="A592" s="257"/>
      <c r="B592" s="57"/>
      <c r="C592" s="57"/>
      <c r="D592" s="57"/>
      <c r="E592" s="57"/>
      <c r="F592" s="57"/>
      <c r="G592" s="57"/>
      <c r="H592" s="57"/>
      <c r="I592" s="57"/>
      <c r="J592" s="57"/>
      <c r="K592" s="57"/>
      <c r="L592" s="57"/>
      <c r="M592" s="57"/>
      <c r="N592" s="57"/>
      <c r="O592" s="57"/>
      <c r="P592" s="57"/>
      <c r="Q592" s="57"/>
      <c r="R592" s="2209"/>
      <c r="S592" s="257"/>
    </row>
    <row r="593" spans="1:19">
      <c r="A593" s="257"/>
      <c r="B593" s="57"/>
      <c r="C593" s="57"/>
      <c r="D593" s="57"/>
      <c r="E593" s="57"/>
      <c r="F593" s="57"/>
      <c r="G593" s="57"/>
      <c r="H593" s="57"/>
      <c r="I593" s="57"/>
      <c r="J593" s="57"/>
      <c r="K593" s="57"/>
      <c r="L593" s="57"/>
      <c r="M593" s="57"/>
      <c r="N593" s="57"/>
      <c r="O593" s="57"/>
      <c r="P593" s="57"/>
      <c r="Q593" s="57"/>
      <c r="R593" s="2209"/>
      <c r="S593" s="257"/>
    </row>
    <row r="594" spans="1:19">
      <c r="A594" s="257"/>
      <c r="B594" s="57"/>
      <c r="C594" s="57"/>
      <c r="D594" s="57"/>
      <c r="E594" s="57"/>
      <c r="F594" s="57"/>
      <c r="G594" s="57"/>
      <c r="H594" s="57"/>
      <c r="I594" s="57"/>
      <c r="J594" s="57"/>
      <c r="K594" s="57"/>
      <c r="L594" s="57"/>
      <c r="M594" s="57"/>
      <c r="N594" s="57"/>
      <c r="O594" s="57"/>
      <c r="P594" s="57"/>
      <c r="Q594" s="57"/>
      <c r="R594" s="2209"/>
      <c r="S594" s="257"/>
    </row>
    <row r="595" spans="1:19">
      <c r="A595" s="257"/>
      <c r="B595" s="57"/>
      <c r="C595" s="57"/>
      <c r="D595" s="57"/>
      <c r="E595" s="57"/>
      <c r="F595" s="57"/>
      <c r="G595" s="57"/>
      <c r="H595" s="57"/>
      <c r="I595" s="57"/>
      <c r="J595" s="57"/>
      <c r="K595" s="57"/>
      <c r="L595" s="57"/>
      <c r="M595" s="57"/>
      <c r="N595" s="57"/>
      <c r="O595" s="57"/>
      <c r="P595" s="57"/>
      <c r="Q595" s="57"/>
      <c r="R595" s="2209"/>
      <c r="S595" s="257"/>
    </row>
    <row r="596" spans="1:19">
      <c r="A596" s="257"/>
      <c r="B596" s="57"/>
      <c r="C596" s="57"/>
      <c r="D596" s="57"/>
      <c r="E596" s="57"/>
      <c r="F596" s="57"/>
      <c r="G596" s="57"/>
      <c r="H596" s="57"/>
      <c r="I596" s="57"/>
      <c r="J596" s="57"/>
      <c r="K596" s="57"/>
      <c r="L596" s="57"/>
      <c r="M596" s="57"/>
      <c r="N596" s="57"/>
      <c r="O596" s="57"/>
      <c r="P596" s="57"/>
      <c r="Q596" s="57"/>
      <c r="R596" s="2209"/>
      <c r="S596" s="257"/>
    </row>
    <row r="597" spans="1:19">
      <c r="A597" s="257"/>
      <c r="B597" s="57"/>
      <c r="C597" s="57"/>
      <c r="D597" s="57"/>
      <c r="E597" s="57"/>
      <c r="F597" s="57"/>
      <c r="G597" s="57"/>
      <c r="H597" s="57"/>
      <c r="I597" s="57"/>
      <c r="J597" s="57"/>
      <c r="K597" s="57"/>
      <c r="L597" s="57"/>
      <c r="M597" s="57"/>
      <c r="N597" s="57"/>
      <c r="O597" s="57"/>
      <c r="P597" s="57"/>
      <c r="Q597" s="57"/>
      <c r="R597" s="2209"/>
      <c r="S597" s="257"/>
    </row>
    <row r="598" spans="1:19">
      <c r="A598" s="257"/>
      <c r="B598" s="57"/>
      <c r="C598" s="57"/>
      <c r="D598" s="57"/>
      <c r="E598" s="57"/>
      <c r="F598" s="57"/>
      <c r="G598" s="57"/>
      <c r="H598" s="57"/>
      <c r="I598" s="57"/>
      <c r="J598" s="57"/>
      <c r="K598" s="57"/>
      <c r="L598" s="57"/>
      <c r="M598" s="57"/>
      <c r="N598" s="57"/>
      <c r="O598" s="57"/>
      <c r="P598" s="57"/>
      <c r="Q598" s="57"/>
      <c r="R598" s="2209"/>
      <c r="S598" s="257"/>
    </row>
    <row r="599" spans="1:19">
      <c r="A599" s="257"/>
      <c r="B599" s="57"/>
      <c r="C599" s="57"/>
      <c r="D599" s="57"/>
      <c r="E599" s="57"/>
      <c r="F599" s="57"/>
      <c r="G599" s="57"/>
      <c r="H599" s="57"/>
      <c r="I599" s="57"/>
      <c r="J599" s="57"/>
      <c r="K599" s="57"/>
      <c r="L599" s="57"/>
      <c r="M599" s="57"/>
      <c r="N599" s="57"/>
      <c r="O599" s="57"/>
      <c r="P599" s="57"/>
      <c r="Q599" s="57"/>
      <c r="R599" s="2209"/>
      <c r="S599" s="257"/>
    </row>
    <row r="600" spans="1:19">
      <c r="A600" s="257"/>
      <c r="B600" s="57"/>
      <c r="C600" s="57"/>
      <c r="D600" s="57"/>
      <c r="E600" s="57"/>
      <c r="F600" s="57"/>
      <c r="G600" s="57"/>
      <c r="H600" s="57"/>
      <c r="I600" s="57"/>
      <c r="J600" s="57"/>
      <c r="K600" s="57"/>
      <c r="L600" s="57"/>
      <c r="M600" s="57"/>
      <c r="N600" s="57"/>
      <c r="O600" s="57"/>
      <c r="P600" s="57"/>
      <c r="Q600" s="57"/>
      <c r="R600" s="2209"/>
      <c r="S600" s="257"/>
    </row>
    <row r="601" spans="1:19">
      <c r="A601" s="257"/>
      <c r="B601" s="57"/>
      <c r="C601" s="57"/>
      <c r="D601" s="57"/>
      <c r="E601" s="57"/>
      <c r="F601" s="57"/>
      <c r="G601" s="57"/>
      <c r="H601" s="57"/>
      <c r="I601" s="57"/>
      <c r="J601" s="57"/>
      <c r="K601" s="57"/>
      <c r="L601" s="57"/>
      <c r="M601" s="57"/>
      <c r="N601" s="57"/>
      <c r="O601" s="57"/>
      <c r="P601" s="57"/>
      <c r="Q601" s="57"/>
      <c r="R601" s="2209"/>
      <c r="S601" s="257"/>
    </row>
    <row r="602" spans="1:19">
      <c r="A602" s="257"/>
      <c r="B602" s="57"/>
      <c r="C602" s="57"/>
      <c r="D602" s="57"/>
      <c r="E602" s="57"/>
      <c r="F602" s="57"/>
      <c r="G602" s="57"/>
      <c r="H602" s="57"/>
      <c r="I602" s="57"/>
      <c r="J602" s="57"/>
      <c r="K602" s="57"/>
      <c r="L602" s="57"/>
      <c r="M602" s="57"/>
      <c r="N602" s="57"/>
      <c r="O602" s="57"/>
      <c r="P602" s="57"/>
      <c r="Q602" s="57"/>
      <c r="R602" s="2209"/>
      <c r="S602" s="257"/>
    </row>
    <row r="603" spans="1:19">
      <c r="A603" s="257"/>
      <c r="B603" s="57"/>
      <c r="C603" s="57"/>
      <c r="D603" s="57"/>
      <c r="E603" s="57"/>
      <c r="F603" s="57"/>
      <c r="G603" s="57"/>
      <c r="H603" s="57"/>
      <c r="I603" s="57"/>
      <c r="J603" s="57"/>
      <c r="K603" s="57"/>
      <c r="L603" s="57"/>
      <c r="M603" s="57"/>
      <c r="N603" s="57"/>
      <c r="O603" s="57"/>
      <c r="P603" s="57"/>
      <c r="Q603" s="57"/>
      <c r="R603" s="2209"/>
      <c r="S603" s="257"/>
    </row>
    <row r="604" spans="1:19">
      <c r="A604" s="257"/>
      <c r="B604" s="57"/>
      <c r="C604" s="57"/>
      <c r="D604" s="57"/>
      <c r="E604" s="57"/>
      <c r="F604" s="57"/>
      <c r="G604" s="57"/>
      <c r="H604" s="57"/>
      <c r="I604" s="57"/>
      <c r="J604" s="57"/>
      <c r="K604" s="57"/>
      <c r="L604" s="57"/>
      <c r="M604" s="57"/>
      <c r="N604" s="57"/>
      <c r="O604" s="57"/>
      <c r="P604" s="57"/>
      <c r="Q604" s="57"/>
      <c r="R604" s="2209"/>
      <c r="S604" s="257"/>
    </row>
    <row r="605" spans="1:19">
      <c r="A605" s="257"/>
      <c r="B605" s="57"/>
      <c r="C605" s="57"/>
      <c r="D605" s="57"/>
      <c r="E605" s="57"/>
      <c r="F605" s="57"/>
      <c r="G605" s="57"/>
      <c r="H605" s="57"/>
      <c r="I605" s="57"/>
      <c r="J605" s="57"/>
      <c r="K605" s="57"/>
      <c r="L605" s="57"/>
      <c r="M605" s="57"/>
      <c r="N605" s="57"/>
      <c r="O605" s="57"/>
      <c r="P605" s="57"/>
      <c r="Q605" s="57"/>
      <c r="R605" s="2209"/>
      <c r="S605" s="257"/>
    </row>
    <row r="606" spans="1:19">
      <c r="A606" s="257"/>
      <c r="B606" s="57"/>
      <c r="C606" s="57"/>
      <c r="D606" s="57"/>
      <c r="E606" s="57"/>
      <c r="F606" s="57"/>
      <c r="G606" s="57"/>
      <c r="H606" s="57"/>
      <c r="I606" s="57"/>
      <c r="J606" s="57"/>
      <c r="K606" s="57"/>
      <c r="L606" s="57"/>
      <c r="M606" s="57"/>
      <c r="N606" s="57"/>
      <c r="O606" s="57"/>
      <c r="P606" s="57"/>
      <c r="Q606" s="57"/>
      <c r="R606" s="2209"/>
      <c r="S606" s="257"/>
    </row>
    <row r="607" spans="1:19">
      <c r="A607" s="257"/>
      <c r="B607" s="57"/>
      <c r="C607" s="57"/>
      <c r="D607" s="57"/>
      <c r="E607" s="57"/>
      <c r="F607" s="57"/>
      <c r="G607" s="57"/>
      <c r="H607" s="57"/>
      <c r="I607" s="57"/>
      <c r="J607" s="57"/>
      <c r="K607" s="57"/>
      <c r="L607" s="57"/>
      <c r="M607" s="57"/>
      <c r="N607" s="57"/>
      <c r="O607" s="57"/>
      <c r="P607" s="57"/>
      <c r="Q607" s="57"/>
      <c r="R607" s="2209"/>
      <c r="S607" s="257"/>
    </row>
    <row r="608" spans="1:19">
      <c r="A608" s="257"/>
      <c r="B608" s="57"/>
      <c r="C608" s="57"/>
      <c r="D608" s="57"/>
      <c r="E608" s="57"/>
      <c r="F608" s="57"/>
      <c r="G608" s="57"/>
      <c r="H608" s="57"/>
      <c r="I608" s="57"/>
      <c r="J608" s="57"/>
      <c r="K608" s="57"/>
      <c r="L608" s="57"/>
      <c r="M608" s="57"/>
      <c r="N608" s="57"/>
      <c r="O608" s="57"/>
      <c r="P608" s="57"/>
      <c r="Q608" s="57"/>
      <c r="R608" s="2209"/>
      <c r="S608" s="257"/>
    </row>
    <row r="609" spans="1:19">
      <c r="A609" s="257"/>
      <c r="B609" s="57"/>
      <c r="C609" s="57"/>
      <c r="D609" s="57"/>
      <c r="E609" s="57"/>
      <c r="F609" s="57"/>
      <c r="G609" s="57"/>
      <c r="H609" s="57"/>
      <c r="I609" s="57"/>
      <c r="J609" s="57"/>
      <c r="K609" s="57"/>
      <c r="L609" s="57"/>
      <c r="M609" s="57"/>
      <c r="N609" s="57"/>
      <c r="O609" s="57"/>
      <c r="P609" s="57"/>
      <c r="Q609" s="57"/>
      <c r="R609" s="2209"/>
      <c r="S609" s="257"/>
    </row>
    <row r="610" spans="1:19">
      <c r="A610" s="257"/>
      <c r="B610" s="57"/>
      <c r="C610" s="57"/>
      <c r="D610" s="57"/>
      <c r="E610" s="57"/>
      <c r="F610" s="57"/>
      <c r="G610" s="57"/>
      <c r="H610" s="57"/>
      <c r="I610" s="57"/>
      <c r="J610" s="57"/>
      <c r="K610" s="57"/>
      <c r="L610" s="57"/>
      <c r="M610" s="57"/>
      <c r="N610" s="57"/>
      <c r="O610" s="57"/>
      <c r="P610" s="57"/>
      <c r="Q610" s="57"/>
      <c r="R610" s="2209"/>
      <c r="S610" s="257"/>
    </row>
    <row r="611" spans="1:19">
      <c r="A611" s="257"/>
      <c r="B611" s="57"/>
      <c r="C611" s="57"/>
      <c r="D611" s="57"/>
      <c r="E611" s="57"/>
      <c r="F611" s="57"/>
      <c r="G611" s="57"/>
      <c r="H611" s="57"/>
      <c r="I611" s="57"/>
      <c r="J611" s="57"/>
      <c r="K611" s="57"/>
      <c r="L611" s="57"/>
      <c r="M611" s="57"/>
      <c r="N611" s="57"/>
      <c r="O611" s="57"/>
      <c r="P611" s="57"/>
      <c r="Q611" s="57"/>
      <c r="R611" s="2209"/>
      <c r="S611" s="257"/>
    </row>
    <row r="612" spans="1:19">
      <c r="A612" s="257"/>
      <c r="B612" s="57"/>
      <c r="C612" s="57"/>
      <c r="D612" s="57"/>
      <c r="E612" s="57"/>
      <c r="F612" s="57"/>
      <c r="G612" s="57"/>
      <c r="H612" s="57"/>
      <c r="I612" s="57"/>
      <c r="J612" s="57"/>
      <c r="K612" s="57"/>
      <c r="L612" s="57"/>
      <c r="M612" s="57"/>
      <c r="N612" s="57"/>
      <c r="O612" s="57"/>
      <c r="P612" s="57"/>
      <c r="Q612" s="57"/>
      <c r="R612" s="2209"/>
      <c r="S612" s="257"/>
    </row>
    <row r="613" spans="1:19">
      <c r="A613" s="257"/>
      <c r="B613" s="57"/>
      <c r="C613" s="57"/>
      <c r="D613" s="57"/>
      <c r="E613" s="57"/>
      <c r="F613" s="57"/>
      <c r="G613" s="57"/>
      <c r="H613" s="57"/>
      <c r="I613" s="57"/>
      <c r="J613" s="57"/>
      <c r="K613" s="57"/>
      <c r="L613" s="57"/>
      <c r="M613" s="57"/>
      <c r="N613" s="57"/>
      <c r="O613" s="57"/>
      <c r="P613" s="57"/>
      <c r="Q613" s="57"/>
      <c r="R613" s="2209"/>
      <c r="S613" s="257"/>
    </row>
    <row r="614" spans="1:19">
      <c r="A614" s="257"/>
      <c r="B614" s="57"/>
      <c r="C614" s="57"/>
      <c r="D614" s="57"/>
      <c r="E614" s="57"/>
      <c r="F614" s="57"/>
      <c r="G614" s="57"/>
      <c r="H614" s="57"/>
      <c r="I614" s="57"/>
      <c r="J614" s="57"/>
      <c r="K614" s="57"/>
      <c r="L614" s="57"/>
      <c r="M614" s="57"/>
      <c r="N614" s="57"/>
      <c r="O614" s="57"/>
      <c r="P614" s="57"/>
      <c r="Q614" s="57"/>
      <c r="R614" s="2209"/>
      <c r="S614" s="257"/>
    </row>
    <row r="615" spans="1:19">
      <c r="A615" s="257"/>
      <c r="B615" s="57"/>
      <c r="C615" s="57"/>
      <c r="D615" s="57"/>
      <c r="E615" s="57"/>
      <c r="F615" s="57"/>
      <c r="G615" s="57"/>
      <c r="H615" s="57"/>
      <c r="I615" s="57"/>
      <c r="J615" s="57"/>
      <c r="K615" s="57"/>
      <c r="L615" s="57"/>
      <c r="M615" s="57"/>
      <c r="N615" s="57"/>
      <c r="O615" s="57"/>
      <c r="P615" s="57"/>
      <c r="Q615" s="57"/>
      <c r="R615" s="2209"/>
      <c r="S615" s="257"/>
    </row>
    <row r="616" spans="1:19">
      <c r="A616" s="257"/>
      <c r="B616" s="57"/>
      <c r="C616" s="57"/>
      <c r="D616" s="57"/>
      <c r="E616" s="57"/>
      <c r="F616" s="57"/>
      <c r="G616" s="57"/>
      <c r="H616" s="57"/>
      <c r="I616" s="57"/>
      <c r="J616" s="57"/>
      <c r="K616" s="57"/>
      <c r="L616" s="57"/>
      <c r="M616" s="57"/>
      <c r="N616" s="57"/>
      <c r="O616" s="57"/>
      <c r="P616" s="57"/>
      <c r="Q616" s="57"/>
      <c r="R616" s="2209"/>
      <c r="S616" s="257"/>
    </row>
    <row r="617" spans="1:19">
      <c r="A617" s="257"/>
      <c r="B617" s="57"/>
      <c r="C617" s="57"/>
      <c r="D617" s="57"/>
      <c r="E617" s="57"/>
      <c r="F617" s="57"/>
      <c r="G617" s="57"/>
      <c r="H617" s="57"/>
      <c r="I617" s="57"/>
      <c r="J617" s="57"/>
      <c r="K617" s="57"/>
      <c r="L617" s="57"/>
      <c r="M617" s="57"/>
      <c r="N617" s="57"/>
      <c r="O617" s="57"/>
      <c r="P617" s="57"/>
      <c r="Q617" s="57"/>
      <c r="R617" s="2209"/>
      <c r="S617" s="257"/>
    </row>
    <row r="618" spans="1:19">
      <c r="A618" s="257"/>
      <c r="B618" s="57"/>
      <c r="C618" s="57"/>
      <c r="D618" s="57"/>
      <c r="E618" s="57"/>
      <c r="F618" s="57"/>
      <c r="G618" s="57"/>
      <c r="H618" s="57"/>
      <c r="I618" s="57"/>
      <c r="J618" s="57"/>
      <c r="K618" s="57"/>
      <c r="L618" s="57"/>
      <c r="M618" s="57"/>
      <c r="N618" s="57"/>
      <c r="O618" s="57"/>
      <c r="P618" s="57"/>
      <c r="Q618" s="57"/>
      <c r="R618" s="2209"/>
      <c r="S618" s="257"/>
    </row>
    <row r="619" spans="1:19">
      <c r="A619" s="257"/>
      <c r="B619" s="57"/>
      <c r="C619" s="57"/>
      <c r="D619" s="57"/>
      <c r="E619" s="57"/>
      <c r="F619" s="57"/>
      <c r="G619" s="57"/>
      <c r="H619" s="57"/>
      <c r="I619" s="57"/>
      <c r="J619" s="57"/>
      <c r="K619" s="57"/>
      <c r="L619" s="57"/>
      <c r="M619" s="57"/>
      <c r="N619" s="57"/>
      <c r="O619" s="57"/>
      <c r="P619" s="57"/>
      <c r="Q619" s="57"/>
      <c r="R619" s="2209"/>
      <c r="S619" s="257"/>
    </row>
    <row r="620" spans="1:19">
      <c r="A620" s="257"/>
      <c r="B620" s="57"/>
      <c r="C620" s="57"/>
      <c r="D620" s="57"/>
      <c r="E620" s="57"/>
      <c r="F620" s="57"/>
      <c r="G620" s="57"/>
      <c r="H620" s="57"/>
      <c r="I620" s="57"/>
      <c r="J620" s="57"/>
      <c r="K620" s="57"/>
      <c r="L620" s="57"/>
      <c r="M620" s="57"/>
      <c r="N620" s="57"/>
      <c r="O620" s="57"/>
      <c r="P620" s="57"/>
      <c r="Q620" s="57"/>
      <c r="R620" s="2209"/>
      <c r="S620" s="257"/>
    </row>
    <row r="621" spans="1:19">
      <c r="A621" s="257"/>
      <c r="B621" s="57"/>
      <c r="C621" s="57"/>
      <c r="D621" s="57"/>
      <c r="E621" s="57"/>
      <c r="F621" s="57"/>
      <c r="G621" s="57"/>
      <c r="H621" s="57"/>
      <c r="I621" s="57"/>
      <c r="J621" s="57"/>
      <c r="K621" s="57"/>
      <c r="L621" s="57"/>
      <c r="M621" s="57"/>
      <c r="N621" s="57"/>
      <c r="O621" s="57"/>
      <c r="P621" s="57"/>
      <c r="Q621" s="57"/>
      <c r="R621" s="2209"/>
      <c r="S621" s="257"/>
    </row>
    <row r="622" spans="1:19">
      <c r="A622" s="257"/>
      <c r="B622" s="57"/>
      <c r="C622" s="57"/>
      <c r="D622" s="57"/>
      <c r="E622" s="57"/>
      <c r="F622" s="57"/>
      <c r="G622" s="57"/>
      <c r="H622" s="57"/>
      <c r="I622" s="57"/>
      <c r="J622" s="57"/>
      <c r="K622" s="57"/>
      <c r="L622" s="57"/>
      <c r="M622" s="57"/>
      <c r="N622" s="57"/>
      <c r="O622" s="57"/>
      <c r="P622" s="57"/>
      <c r="Q622" s="57"/>
      <c r="R622" s="2209"/>
      <c r="S622" s="257"/>
    </row>
    <row r="623" spans="1:19">
      <c r="A623" s="257"/>
      <c r="B623" s="57"/>
      <c r="C623" s="57"/>
      <c r="D623" s="57"/>
      <c r="E623" s="57"/>
      <c r="F623" s="57"/>
      <c r="G623" s="57"/>
      <c r="H623" s="57"/>
      <c r="I623" s="57"/>
      <c r="J623" s="57"/>
      <c r="K623" s="57"/>
      <c r="L623" s="57"/>
      <c r="M623" s="57"/>
      <c r="N623" s="57"/>
      <c r="O623" s="57"/>
      <c r="P623" s="57"/>
      <c r="Q623" s="57"/>
      <c r="R623" s="2209"/>
      <c r="S623" s="257"/>
    </row>
    <row r="624" spans="1:19">
      <c r="A624" s="257"/>
      <c r="B624" s="57"/>
      <c r="C624" s="57"/>
      <c r="D624" s="57"/>
      <c r="E624" s="57"/>
      <c r="F624" s="57"/>
      <c r="G624" s="57"/>
      <c r="H624" s="57"/>
      <c r="I624" s="57"/>
      <c r="J624" s="57"/>
      <c r="K624" s="57"/>
      <c r="L624" s="57"/>
      <c r="M624" s="57"/>
      <c r="N624" s="57"/>
      <c r="O624" s="57"/>
      <c r="P624" s="57"/>
      <c r="Q624" s="57"/>
      <c r="R624" s="2209"/>
      <c r="S624" s="257"/>
    </row>
    <row r="625" spans="1:19">
      <c r="A625" s="257"/>
      <c r="B625" s="57"/>
      <c r="C625" s="57"/>
      <c r="D625" s="57"/>
      <c r="E625" s="57"/>
      <c r="F625" s="57"/>
      <c r="G625" s="57"/>
      <c r="H625" s="57"/>
      <c r="I625" s="57"/>
      <c r="J625" s="57"/>
      <c r="K625" s="57"/>
      <c r="L625" s="57"/>
      <c r="M625" s="57"/>
      <c r="N625" s="57"/>
      <c r="O625" s="57"/>
      <c r="P625" s="57"/>
      <c r="Q625" s="57"/>
      <c r="R625" s="2209"/>
      <c r="S625" s="257"/>
    </row>
    <row r="626" spans="1:19">
      <c r="A626" s="257"/>
      <c r="B626" s="57"/>
      <c r="C626" s="57"/>
      <c r="D626" s="57"/>
      <c r="E626" s="57"/>
      <c r="F626" s="57"/>
      <c r="G626" s="57"/>
      <c r="H626" s="57"/>
      <c r="I626" s="57"/>
      <c r="J626" s="57"/>
      <c r="K626" s="57"/>
      <c r="L626" s="57"/>
      <c r="M626" s="57"/>
      <c r="N626" s="57"/>
      <c r="O626" s="57"/>
      <c r="P626" s="57"/>
      <c r="Q626" s="57"/>
      <c r="R626" s="2209"/>
      <c r="S626" s="257"/>
    </row>
    <row r="627" spans="1:19">
      <c r="A627" s="257"/>
      <c r="B627" s="57"/>
      <c r="C627" s="57"/>
      <c r="D627" s="57"/>
      <c r="E627" s="57"/>
      <c r="F627" s="57"/>
      <c r="G627" s="57"/>
      <c r="H627" s="57"/>
      <c r="I627" s="57"/>
      <c r="J627" s="57"/>
      <c r="K627" s="57"/>
      <c r="L627" s="57"/>
      <c r="M627" s="57"/>
      <c r="N627" s="57"/>
      <c r="O627" s="57"/>
      <c r="P627" s="57"/>
      <c r="Q627" s="57"/>
      <c r="R627" s="2209"/>
      <c r="S627" s="257"/>
    </row>
    <row r="628" spans="1:19">
      <c r="A628" s="257"/>
      <c r="B628" s="57"/>
      <c r="C628" s="57"/>
      <c r="D628" s="57"/>
      <c r="E628" s="57"/>
      <c r="F628" s="57"/>
      <c r="G628" s="57"/>
      <c r="H628" s="57"/>
      <c r="I628" s="57"/>
      <c r="J628" s="57"/>
      <c r="K628" s="57"/>
      <c r="L628" s="57"/>
      <c r="M628" s="57"/>
      <c r="N628" s="57"/>
      <c r="O628" s="57"/>
      <c r="P628" s="57"/>
      <c r="Q628" s="57"/>
      <c r="R628" s="2209"/>
      <c r="S628" s="257"/>
    </row>
    <row r="629" spans="1:19">
      <c r="A629" s="257"/>
      <c r="B629" s="57"/>
      <c r="C629" s="57"/>
      <c r="D629" s="57"/>
      <c r="E629" s="57"/>
      <c r="F629" s="57"/>
      <c r="G629" s="57"/>
      <c r="H629" s="57"/>
      <c r="I629" s="57"/>
      <c r="J629" s="57"/>
      <c r="K629" s="57"/>
      <c r="L629" s="57"/>
      <c r="M629" s="57"/>
      <c r="N629" s="57"/>
      <c r="O629" s="57"/>
      <c r="P629" s="57"/>
      <c r="Q629" s="57"/>
      <c r="R629" s="2209"/>
      <c r="S629" s="257"/>
    </row>
    <row r="630" spans="1:19">
      <c r="A630" s="257"/>
      <c r="B630" s="57"/>
      <c r="C630" s="57"/>
      <c r="D630" s="57"/>
      <c r="E630" s="57"/>
      <c r="F630" s="57"/>
      <c r="G630" s="57"/>
      <c r="H630" s="57"/>
      <c r="I630" s="57"/>
      <c r="J630" s="57"/>
      <c r="K630" s="57"/>
      <c r="L630" s="57"/>
      <c r="M630" s="57"/>
      <c r="N630" s="57"/>
      <c r="O630" s="57"/>
      <c r="P630" s="57"/>
      <c r="Q630" s="57"/>
      <c r="R630" s="2209"/>
      <c r="S630" s="257"/>
    </row>
    <row r="631" spans="1:19">
      <c r="A631" s="257"/>
      <c r="B631" s="57"/>
      <c r="C631" s="57"/>
      <c r="D631" s="57"/>
      <c r="E631" s="57"/>
      <c r="F631" s="57"/>
      <c r="G631" s="57"/>
      <c r="H631" s="57"/>
      <c r="I631" s="57"/>
      <c r="J631" s="57"/>
      <c r="K631" s="57"/>
      <c r="L631" s="57"/>
      <c r="M631" s="57"/>
      <c r="N631" s="57"/>
      <c r="O631" s="57"/>
      <c r="P631" s="57"/>
      <c r="Q631" s="57"/>
      <c r="R631" s="2209"/>
      <c r="S631" s="257"/>
    </row>
    <row r="632" spans="1:19">
      <c r="A632" s="257"/>
      <c r="B632" s="57"/>
      <c r="C632" s="57"/>
      <c r="D632" s="57"/>
      <c r="E632" s="57"/>
      <c r="F632" s="57"/>
      <c r="G632" s="57"/>
      <c r="H632" s="57"/>
      <c r="I632" s="57"/>
      <c r="J632" s="57"/>
      <c r="K632" s="57"/>
      <c r="L632" s="57"/>
      <c r="M632" s="57"/>
      <c r="N632" s="57"/>
      <c r="O632" s="57"/>
      <c r="P632" s="57"/>
      <c r="Q632" s="57"/>
      <c r="R632" s="2209"/>
      <c r="S632" s="257"/>
    </row>
    <row r="633" spans="1:19">
      <c r="A633" s="257"/>
      <c r="B633" s="57"/>
      <c r="C633" s="57"/>
      <c r="D633" s="57"/>
      <c r="E633" s="57"/>
      <c r="F633" s="57"/>
      <c r="G633" s="57"/>
      <c r="H633" s="57"/>
      <c r="I633" s="57"/>
      <c r="J633" s="57"/>
      <c r="K633" s="57"/>
      <c r="L633" s="57"/>
      <c r="M633" s="57"/>
      <c r="N633" s="57"/>
      <c r="O633" s="57"/>
      <c r="P633" s="57"/>
      <c r="Q633" s="57"/>
      <c r="R633" s="2209"/>
      <c r="S633" s="257"/>
    </row>
    <row r="634" spans="1:19">
      <c r="A634" s="257"/>
      <c r="B634" s="57"/>
      <c r="C634" s="57"/>
      <c r="D634" s="57"/>
      <c r="E634" s="57"/>
      <c r="F634" s="57"/>
      <c r="G634" s="57"/>
      <c r="H634" s="57"/>
      <c r="I634" s="57"/>
      <c r="J634" s="57"/>
      <c r="K634" s="57"/>
      <c r="L634" s="57"/>
      <c r="M634" s="57"/>
      <c r="N634" s="57"/>
      <c r="O634" s="57"/>
      <c r="P634" s="57"/>
      <c r="Q634" s="57"/>
      <c r="R634" s="2209"/>
      <c r="S634" s="257"/>
    </row>
    <row r="635" spans="1:19">
      <c r="A635" s="257"/>
      <c r="B635" s="57"/>
      <c r="C635" s="57"/>
      <c r="D635" s="57"/>
      <c r="E635" s="57"/>
      <c r="F635" s="57"/>
      <c r="G635" s="57"/>
      <c r="H635" s="57"/>
      <c r="I635" s="57"/>
      <c r="J635" s="57"/>
      <c r="K635" s="57"/>
      <c r="L635" s="57"/>
      <c r="M635" s="57"/>
      <c r="N635" s="57"/>
      <c r="O635" s="57"/>
      <c r="P635" s="57"/>
      <c r="Q635" s="57"/>
      <c r="R635" s="2209"/>
      <c r="S635" s="257"/>
    </row>
    <row r="636" spans="1:19">
      <c r="A636" s="257"/>
      <c r="B636" s="57"/>
      <c r="C636" s="57"/>
      <c r="D636" s="57"/>
      <c r="E636" s="57"/>
      <c r="F636" s="57"/>
      <c r="G636" s="57"/>
      <c r="H636" s="57"/>
      <c r="I636" s="57"/>
      <c r="J636" s="57"/>
      <c r="K636" s="57"/>
      <c r="L636" s="57"/>
      <c r="M636" s="57"/>
      <c r="N636" s="57"/>
      <c r="O636" s="57"/>
      <c r="P636" s="57"/>
      <c r="Q636" s="57"/>
      <c r="R636" s="2209"/>
      <c r="S636" s="257"/>
    </row>
    <row r="637" spans="1:19">
      <c r="A637" s="257"/>
      <c r="B637" s="57"/>
      <c r="C637" s="57"/>
      <c r="D637" s="57"/>
      <c r="E637" s="57"/>
      <c r="F637" s="57"/>
      <c r="G637" s="57"/>
      <c r="H637" s="57"/>
      <c r="I637" s="57"/>
      <c r="J637" s="57"/>
      <c r="K637" s="57"/>
      <c r="L637" s="57"/>
      <c r="M637" s="57"/>
      <c r="N637" s="57"/>
      <c r="O637" s="57"/>
      <c r="P637" s="57"/>
      <c r="Q637" s="57"/>
      <c r="R637" s="2209"/>
      <c r="S637" s="257"/>
    </row>
    <row r="638" spans="1:19">
      <c r="A638" s="257"/>
      <c r="B638" s="57"/>
      <c r="C638" s="57"/>
      <c r="D638" s="57"/>
      <c r="E638" s="57"/>
      <c r="F638" s="57"/>
      <c r="G638" s="57"/>
      <c r="H638" s="57"/>
      <c r="I638" s="57"/>
      <c r="J638" s="57"/>
      <c r="K638" s="57"/>
      <c r="L638" s="57"/>
      <c r="M638" s="57"/>
      <c r="N638" s="57"/>
      <c r="O638" s="57"/>
      <c r="P638" s="57"/>
      <c r="Q638" s="57"/>
      <c r="R638" s="2209"/>
      <c r="S638" s="257"/>
    </row>
    <row r="639" spans="1:19">
      <c r="A639" s="257"/>
      <c r="B639" s="57"/>
      <c r="C639" s="57"/>
      <c r="D639" s="57"/>
      <c r="E639" s="57"/>
      <c r="F639" s="57"/>
      <c r="G639" s="57"/>
      <c r="H639" s="57"/>
      <c r="I639" s="57"/>
      <c r="J639" s="57"/>
      <c r="K639" s="57"/>
      <c r="L639" s="57"/>
      <c r="M639" s="57"/>
      <c r="N639" s="57"/>
      <c r="O639" s="57"/>
      <c r="P639" s="57"/>
      <c r="Q639" s="57"/>
      <c r="R639" s="2209"/>
      <c r="S639" s="257"/>
    </row>
    <row r="640" spans="1:19">
      <c r="A640" s="257"/>
      <c r="B640" s="57"/>
      <c r="C640" s="57"/>
      <c r="D640" s="57"/>
      <c r="E640" s="57"/>
      <c r="F640" s="57"/>
      <c r="G640" s="57"/>
      <c r="H640" s="57"/>
      <c r="I640" s="57"/>
      <c r="J640" s="57"/>
      <c r="K640" s="57"/>
      <c r="L640" s="57"/>
      <c r="M640" s="57"/>
      <c r="N640" s="57"/>
      <c r="O640" s="57"/>
      <c r="P640" s="57"/>
      <c r="Q640" s="57"/>
      <c r="R640" s="2209"/>
      <c r="S640" s="257"/>
    </row>
    <row r="641" spans="1:19">
      <c r="A641" s="257"/>
      <c r="B641" s="57"/>
      <c r="C641" s="57"/>
      <c r="D641" s="57"/>
      <c r="E641" s="57"/>
      <c r="F641" s="57"/>
      <c r="G641" s="57"/>
      <c r="H641" s="57"/>
      <c r="I641" s="57"/>
      <c r="J641" s="57"/>
      <c r="K641" s="57"/>
      <c r="L641" s="57"/>
      <c r="M641" s="57"/>
      <c r="N641" s="57"/>
      <c r="O641" s="57"/>
      <c r="P641" s="57"/>
      <c r="Q641" s="57"/>
      <c r="R641" s="2209"/>
      <c r="S641" s="257"/>
    </row>
    <row r="642" spans="1:19">
      <c r="A642" s="257"/>
      <c r="B642" s="57"/>
      <c r="C642" s="57"/>
      <c r="D642" s="57"/>
      <c r="E642" s="57"/>
      <c r="F642" s="57"/>
      <c r="G642" s="57"/>
      <c r="H642" s="57"/>
      <c r="I642" s="57"/>
      <c r="J642" s="57"/>
      <c r="K642" s="57"/>
      <c r="L642" s="57"/>
      <c r="M642" s="57"/>
      <c r="N642" s="57"/>
      <c r="O642" s="57"/>
      <c r="P642" s="57"/>
      <c r="Q642" s="57"/>
      <c r="R642" s="2209"/>
      <c r="S642" s="257"/>
    </row>
    <row r="643" spans="1:19">
      <c r="A643" s="257"/>
      <c r="B643" s="57"/>
      <c r="C643" s="57"/>
      <c r="D643" s="57"/>
      <c r="E643" s="57"/>
      <c r="F643" s="57"/>
      <c r="G643" s="57"/>
      <c r="H643" s="57"/>
      <c r="I643" s="57"/>
      <c r="J643" s="57"/>
      <c r="K643" s="57"/>
      <c r="L643" s="57"/>
      <c r="M643" s="57"/>
      <c r="N643" s="57"/>
      <c r="O643" s="57"/>
      <c r="P643" s="57"/>
      <c r="Q643" s="57"/>
      <c r="R643" s="2209"/>
      <c r="S643" s="257"/>
    </row>
    <row r="644" spans="1:19">
      <c r="A644" s="257"/>
      <c r="B644" s="57"/>
      <c r="C644" s="57"/>
      <c r="D644" s="57"/>
      <c r="E644" s="57"/>
      <c r="F644" s="57"/>
      <c r="G644" s="57"/>
      <c r="H644" s="57"/>
      <c r="I644" s="57"/>
      <c r="J644" s="57"/>
      <c r="K644" s="57"/>
      <c r="L644" s="57"/>
      <c r="M644" s="57"/>
      <c r="N644" s="57"/>
      <c r="O644" s="57"/>
      <c r="P644" s="57"/>
      <c r="Q644" s="57"/>
      <c r="R644" s="2209"/>
      <c r="S644" s="257"/>
    </row>
    <row r="645" spans="1:19">
      <c r="A645" s="257"/>
      <c r="B645" s="57"/>
      <c r="C645" s="57"/>
      <c r="D645" s="57"/>
      <c r="E645" s="57"/>
      <c r="F645" s="57"/>
      <c r="G645" s="57"/>
      <c r="H645" s="57"/>
      <c r="I645" s="57"/>
      <c r="J645" s="57"/>
      <c r="K645" s="57"/>
      <c r="L645" s="57"/>
      <c r="M645" s="57"/>
      <c r="N645" s="57"/>
      <c r="O645" s="57"/>
      <c r="P645" s="57"/>
      <c r="Q645" s="57"/>
      <c r="R645" s="2209"/>
      <c r="S645" s="257"/>
    </row>
    <row r="646" spans="1:19">
      <c r="A646" s="257"/>
      <c r="B646" s="57"/>
      <c r="C646" s="57"/>
      <c r="D646" s="57"/>
      <c r="E646" s="57"/>
      <c r="F646" s="57"/>
      <c r="G646" s="57"/>
      <c r="H646" s="57"/>
      <c r="I646" s="57"/>
      <c r="J646" s="57"/>
      <c r="K646" s="57"/>
      <c r="L646" s="57"/>
      <c r="M646" s="57"/>
      <c r="N646" s="57"/>
      <c r="O646" s="57"/>
      <c r="P646" s="57"/>
      <c r="Q646" s="57"/>
      <c r="R646" s="2209"/>
      <c r="S646" s="257"/>
    </row>
    <row r="647" spans="1:19">
      <c r="A647" s="257"/>
      <c r="B647" s="57"/>
      <c r="C647" s="57"/>
      <c r="D647" s="57"/>
      <c r="E647" s="57"/>
      <c r="F647" s="57"/>
      <c r="G647" s="57"/>
      <c r="H647" s="57"/>
      <c r="I647" s="57"/>
      <c r="J647" s="57"/>
      <c r="K647" s="57"/>
      <c r="L647" s="57"/>
      <c r="M647" s="57"/>
      <c r="N647" s="57"/>
      <c r="O647" s="57"/>
      <c r="P647" s="57"/>
      <c r="Q647" s="57"/>
      <c r="R647" s="2209"/>
      <c r="S647" s="257"/>
    </row>
    <row r="648" spans="1:19">
      <c r="A648" s="257"/>
      <c r="B648" s="57"/>
      <c r="C648" s="57"/>
      <c r="D648" s="57"/>
      <c r="E648" s="57"/>
      <c r="F648" s="57"/>
      <c r="G648" s="57"/>
      <c r="H648" s="57"/>
      <c r="I648" s="57"/>
      <c r="J648" s="57"/>
      <c r="K648" s="57"/>
      <c r="L648" s="57"/>
      <c r="M648" s="57"/>
      <c r="N648" s="57"/>
      <c r="O648" s="57"/>
      <c r="P648" s="57"/>
      <c r="Q648" s="57"/>
      <c r="R648" s="2209"/>
      <c r="S648" s="257"/>
    </row>
    <row r="649" spans="1:19">
      <c r="A649" s="257"/>
      <c r="B649" s="57"/>
      <c r="C649" s="57"/>
      <c r="D649" s="57"/>
      <c r="E649" s="57"/>
      <c r="F649" s="57"/>
      <c r="G649" s="57"/>
      <c r="H649" s="57"/>
      <c r="I649" s="57"/>
      <c r="J649" s="57"/>
      <c r="K649" s="57"/>
      <c r="L649" s="57"/>
      <c r="M649" s="57"/>
      <c r="N649" s="57"/>
      <c r="O649" s="57"/>
      <c r="P649" s="57"/>
      <c r="Q649" s="57"/>
      <c r="R649" s="2209"/>
      <c r="S649" s="257"/>
    </row>
    <row r="650" spans="1:19">
      <c r="A650" s="257"/>
      <c r="B650" s="57"/>
      <c r="C650" s="57"/>
      <c r="D650" s="57"/>
      <c r="E650" s="57"/>
      <c r="F650" s="57"/>
      <c r="G650" s="57"/>
      <c r="H650" s="57"/>
      <c r="I650" s="57"/>
      <c r="J650" s="57"/>
      <c r="K650" s="57"/>
      <c r="L650" s="57"/>
      <c r="M650" s="57"/>
      <c r="N650" s="57"/>
      <c r="O650" s="57"/>
      <c r="P650" s="57"/>
      <c r="Q650" s="57"/>
      <c r="R650" s="2209"/>
      <c r="S650" s="257"/>
    </row>
    <row r="651" spans="1:19">
      <c r="A651" s="257"/>
      <c r="B651" s="57"/>
      <c r="C651" s="57"/>
      <c r="D651" s="57"/>
      <c r="E651" s="57"/>
      <c r="F651" s="57"/>
      <c r="G651" s="57"/>
      <c r="H651" s="57"/>
      <c r="I651" s="57"/>
      <c r="J651" s="57"/>
      <c r="K651" s="57"/>
      <c r="L651" s="57"/>
      <c r="M651" s="57"/>
      <c r="N651" s="57"/>
      <c r="O651" s="57"/>
      <c r="P651" s="57"/>
      <c r="Q651" s="57"/>
      <c r="R651" s="2209"/>
      <c r="S651" s="257"/>
    </row>
    <row r="652" spans="1:19">
      <c r="A652" s="257"/>
      <c r="B652" s="57"/>
      <c r="C652" s="57"/>
      <c r="D652" s="57"/>
      <c r="E652" s="57"/>
      <c r="F652" s="57"/>
      <c r="G652" s="57"/>
      <c r="H652" s="57"/>
      <c r="I652" s="57"/>
      <c r="J652" s="57"/>
      <c r="K652" s="57"/>
      <c r="L652" s="57"/>
      <c r="M652" s="57"/>
      <c r="N652" s="57"/>
      <c r="O652" s="57"/>
      <c r="P652" s="57"/>
      <c r="Q652" s="57"/>
      <c r="R652" s="2209"/>
      <c r="S652" s="257"/>
    </row>
    <row r="653" spans="1:19">
      <c r="A653" s="257"/>
      <c r="B653" s="57"/>
      <c r="C653" s="57"/>
      <c r="D653" s="57"/>
      <c r="E653" s="57"/>
      <c r="F653" s="57"/>
      <c r="G653" s="57"/>
      <c r="H653" s="57"/>
      <c r="I653" s="57"/>
      <c r="J653" s="57"/>
      <c r="K653" s="57"/>
      <c r="L653" s="57"/>
      <c r="M653" s="57"/>
      <c r="N653" s="57"/>
      <c r="O653" s="57"/>
      <c r="P653" s="57"/>
      <c r="Q653" s="57"/>
      <c r="R653" s="2209"/>
      <c r="S653" s="257"/>
    </row>
    <row r="654" spans="1:19">
      <c r="A654" s="257"/>
      <c r="B654" s="57"/>
      <c r="C654" s="57"/>
      <c r="D654" s="57"/>
      <c r="E654" s="57"/>
      <c r="F654" s="57"/>
      <c r="G654" s="57"/>
      <c r="H654" s="57"/>
      <c r="I654" s="57"/>
      <c r="J654" s="57"/>
      <c r="K654" s="57"/>
      <c r="L654" s="57"/>
      <c r="M654" s="57"/>
      <c r="N654" s="57"/>
      <c r="O654" s="57"/>
      <c r="P654" s="57"/>
      <c r="Q654" s="57"/>
      <c r="R654" s="2209"/>
      <c r="S654" s="257"/>
    </row>
    <row r="655" spans="1:19">
      <c r="A655" s="257"/>
      <c r="B655" s="57"/>
      <c r="C655" s="57"/>
      <c r="D655" s="57"/>
      <c r="E655" s="57"/>
      <c r="F655" s="57"/>
      <c r="G655" s="57"/>
      <c r="H655" s="57"/>
      <c r="I655" s="57"/>
      <c r="J655" s="57"/>
      <c r="K655" s="57"/>
      <c r="L655" s="57"/>
      <c r="M655" s="57"/>
      <c r="N655" s="57"/>
      <c r="O655" s="57"/>
      <c r="P655" s="57"/>
      <c r="Q655" s="57"/>
      <c r="R655" s="2209"/>
      <c r="S655" s="257"/>
    </row>
    <row r="656" spans="1:19">
      <c r="A656" s="257"/>
      <c r="B656" s="57"/>
      <c r="C656" s="57"/>
      <c r="D656" s="57"/>
      <c r="E656" s="57"/>
      <c r="F656" s="57"/>
      <c r="G656" s="57"/>
      <c r="H656" s="57"/>
      <c r="I656" s="57"/>
      <c r="J656" s="57"/>
      <c r="K656" s="57"/>
      <c r="L656" s="57"/>
      <c r="M656" s="57"/>
      <c r="N656" s="57"/>
      <c r="O656" s="57"/>
      <c r="P656" s="57"/>
      <c r="Q656" s="57"/>
      <c r="R656" s="2209"/>
      <c r="S656" s="257"/>
    </row>
    <row r="657" spans="1:19">
      <c r="A657" s="257"/>
      <c r="B657" s="57"/>
      <c r="C657" s="57"/>
      <c r="D657" s="57"/>
      <c r="E657" s="57"/>
      <c r="F657" s="57"/>
      <c r="G657" s="57"/>
      <c r="H657" s="57"/>
      <c r="I657" s="57"/>
      <c r="J657" s="57"/>
      <c r="K657" s="57"/>
      <c r="L657" s="57"/>
      <c r="M657" s="57"/>
      <c r="N657" s="57"/>
      <c r="O657" s="57"/>
      <c r="P657" s="57"/>
      <c r="Q657" s="57"/>
      <c r="R657" s="2209"/>
      <c r="S657" s="257"/>
    </row>
    <row r="658" spans="1:19">
      <c r="A658" s="257"/>
      <c r="B658" s="57"/>
      <c r="C658" s="57"/>
      <c r="D658" s="57"/>
      <c r="E658" s="57"/>
      <c r="F658" s="57"/>
      <c r="G658" s="57"/>
      <c r="H658" s="57"/>
      <c r="I658" s="57"/>
      <c r="J658" s="57"/>
      <c r="K658" s="57"/>
      <c r="L658" s="57"/>
      <c r="M658" s="57"/>
      <c r="N658" s="57"/>
      <c r="O658" s="57"/>
      <c r="P658" s="57"/>
      <c r="Q658" s="57"/>
      <c r="R658" s="2209"/>
      <c r="S658" s="257"/>
    </row>
    <row r="659" spans="1:19">
      <c r="A659" s="257"/>
      <c r="B659" s="57"/>
      <c r="C659" s="57"/>
      <c r="D659" s="57"/>
      <c r="E659" s="57"/>
      <c r="F659" s="57"/>
      <c r="G659" s="57"/>
      <c r="H659" s="57"/>
      <c r="I659" s="57"/>
      <c r="J659" s="57"/>
      <c r="K659" s="57"/>
      <c r="L659" s="57"/>
      <c r="M659" s="57"/>
      <c r="N659" s="57"/>
      <c r="O659" s="57"/>
      <c r="P659" s="57"/>
      <c r="Q659" s="57"/>
      <c r="R659" s="2209"/>
      <c r="S659" s="257"/>
    </row>
    <row r="660" spans="1:19">
      <c r="A660" s="257"/>
      <c r="B660" s="57"/>
      <c r="C660" s="57"/>
      <c r="D660" s="57"/>
      <c r="E660" s="57"/>
      <c r="F660" s="57"/>
      <c r="G660" s="57"/>
      <c r="H660" s="57"/>
      <c r="I660" s="57"/>
      <c r="J660" s="57"/>
      <c r="K660" s="57"/>
      <c r="L660" s="57"/>
      <c r="M660" s="57"/>
      <c r="N660" s="57"/>
      <c r="O660" s="57"/>
      <c r="P660" s="57"/>
      <c r="Q660" s="57"/>
      <c r="R660" s="2209"/>
      <c r="S660" s="257"/>
    </row>
    <row r="661" spans="1:19">
      <c r="A661" s="257"/>
      <c r="B661" s="57"/>
      <c r="C661" s="57"/>
      <c r="D661" s="57"/>
      <c r="E661" s="57"/>
      <c r="F661" s="57"/>
      <c r="G661" s="57"/>
      <c r="H661" s="57"/>
      <c r="I661" s="57"/>
      <c r="J661" s="57"/>
      <c r="K661" s="57"/>
      <c r="L661" s="57"/>
      <c r="M661" s="57"/>
      <c r="N661" s="57"/>
      <c r="O661" s="57"/>
      <c r="P661" s="57"/>
      <c r="Q661" s="57"/>
      <c r="R661" s="2209"/>
      <c r="S661" s="257"/>
    </row>
    <row r="662" spans="1:19">
      <c r="A662" s="257"/>
      <c r="B662" s="57"/>
      <c r="C662" s="57"/>
      <c r="D662" s="57"/>
      <c r="E662" s="57"/>
      <c r="F662" s="57"/>
      <c r="G662" s="57"/>
      <c r="H662" s="57"/>
      <c r="I662" s="57"/>
      <c r="J662" s="57"/>
      <c r="K662" s="57"/>
      <c r="L662" s="57"/>
      <c r="M662" s="57"/>
      <c r="N662" s="57"/>
      <c r="O662" s="57"/>
      <c r="P662" s="57"/>
      <c r="Q662" s="57"/>
      <c r="R662" s="2209"/>
      <c r="S662" s="257"/>
    </row>
    <row r="663" spans="1:19">
      <c r="A663" s="257"/>
      <c r="B663" s="57"/>
      <c r="C663" s="57"/>
      <c r="D663" s="57"/>
      <c r="E663" s="57"/>
      <c r="F663" s="57"/>
      <c r="G663" s="57"/>
      <c r="H663" s="57"/>
      <c r="I663" s="57"/>
      <c r="J663" s="57"/>
      <c r="K663" s="57"/>
      <c r="L663" s="57"/>
      <c r="M663" s="57"/>
      <c r="N663" s="57"/>
      <c r="O663" s="57"/>
      <c r="P663" s="57"/>
      <c r="Q663" s="57"/>
      <c r="R663" s="2209"/>
      <c r="S663" s="257"/>
    </row>
    <row r="664" spans="1:19">
      <c r="A664" s="257"/>
      <c r="B664" s="57"/>
      <c r="C664" s="57"/>
      <c r="D664" s="57"/>
      <c r="E664" s="57"/>
      <c r="F664" s="57"/>
      <c r="G664" s="57"/>
      <c r="H664" s="57"/>
      <c r="I664" s="57"/>
      <c r="J664" s="57"/>
      <c r="K664" s="57"/>
      <c r="L664" s="57"/>
      <c r="M664" s="57"/>
      <c r="N664" s="57"/>
      <c r="O664" s="57"/>
      <c r="P664" s="57"/>
      <c r="Q664" s="57"/>
      <c r="R664" s="2209"/>
      <c r="S664" s="257"/>
    </row>
    <row r="665" spans="1:19">
      <c r="A665" s="257"/>
      <c r="B665" s="57"/>
      <c r="C665" s="57"/>
      <c r="D665" s="57"/>
      <c r="E665" s="57"/>
      <c r="F665" s="57"/>
      <c r="G665" s="57"/>
      <c r="H665" s="57"/>
      <c r="I665" s="57"/>
      <c r="J665" s="57"/>
      <c r="K665" s="57"/>
      <c r="L665" s="57"/>
      <c r="M665" s="57"/>
      <c r="N665" s="57"/>
      <c r="O665" s="57"/>
      <c r="P665" s="57"/>
      <c r="Q665" s="57"/>
      <c r="R665" s="2209"/>
      <c r="S665" s="257"/>
    </row>
    <row r="666" spans="1:19">
      <c r="A666" s="257"/>
      <c r="B666" s="57"/>
      <c r="C666" s="57"/>
      <c r="D666" s="57"/>
      <c r="E666" s="57"/>
      <c r="F666" s="57"/>
      <c r="G666" s="57"/>
      <c r="H666" s="57"/>
      <c r="I666" s="57"/>
      <c r="J666" s="57"/>
      <c r="K666" s="57"/>
      <c r="L666" s="57"/>
      <c r="M666" s="57"/>
      <c r="N666" s="57"/>
      <c r="O666" s="57"/>
      <c r="P666" s="57"/>
      <c r="Q666" s="57"/>
      <c r="R666" s="2209"/>
      <c r="S666" s="257"/>
    </row>
    <row r="667" spans="1:19">
      <c r="A667" s="257"/>
      <c r="B667" s="57"/>
      <c r="C667" s="57"/>
      <c r="D667" s="57"/>
      <c r="E667" s="57"/>
      <c r="F667" s="57"/>
      <c r="G667" s="57"/>
      <c r="H667" s="57"/>
      <c r="I667" s="57"/>
      <c r="J667" s="57"/>
      <c r="K667" s="57"/>
      <c r="L667" s="57"/>
      <c r="M667" s="57"/>
      <c r="N667" s="57"/>
      <c r="O667" s="57"/>
      <c r="P667" s="57"/>
      <c r="Q667" s="57"/>
      <c r="R667" s="2209"/>
      <c r="S667" s="257"/>
    </row>
    <row r="668" spans="1:19">
      <c r="A668" s="257"/>
      <c r="B668" s="57"/>
      <c r="C668" s="57"/>
      <c r="D668" s="57"/>
      <c r="E668" s="57"/>
      <c r="F668" s="57"/>
      <c r="G668" s="57"/>
      <c r="H668" s="57"/>
      <c r="I668" s="57"/>
      <c r="J668" s="57"/>
      <c r="K668" s="57"/>
      <c r="L668" s="57"/>
      <c r="M668" s="57"/>
      <c r="N668" s="57"/>
      <c r="O668" s="57"/>
      <c r="P668" s="57"/>
      <c r="Q668" s="57"/>
      <c r="R668" s="2209"/>
      <c r="S668" s="257"/>
    </row>
    <row r="669" spans="1:19">
      <c r="A669" s="257"/>
      <c r="B669" s="57"/>
      <c r="C669" s="57"/>
      <c r="D669" s="57"/>
      <c r="E669" s="57"/>
      <c r="F669" s="57"/>
      <c r="G669" s="57"/>
      <c r="H669" s="57"/>
      <c r="I669" s="57"/>
      <c r="J669" s="57"/>
      <c r="K669" s="57"/>
      <c r="L669" s="57"/>
      <c r="M669" s="57"/>
      <c r="N669" s="57"/>
      <c r="O669" s="57"/>
      <c r="P669" s="57"/>
      <c r="Q669" s="57"/>
      <c r="R669" s="2209"/>
      <c r="S669" s="257"/>
    </row>
    <row r="670" spans="1:19">
      <c r="A670" s="257"/>
      <c r="B670" s="57"/>
      <c r="C670" s="57"/>
      <c r="D670" s="57"/>
      <c r="E670" s="57"/>
      <c r="F670" s="57"/>
      <c r="G670" s="57"/>
      <c r="H670" s="57"/>
      <c r="I670" s="57"/>
      <c r="J670" s="57"/>
      <c r="K670" s="57"/>
      <c r="L670" s="57"/>
      <c r="M670" s="57"/>
      <c r="N670" s="57"/>
      <c r="O670" s="57"/>
      <c r="P670" s="57"/>
      <c r="Q670" s="57"/>
      <c r="R670" s="2209"/>
      <c r="S670" s="257"/>
    </row>
    <row r="671" spans="1:19">
      <c r="A671" s="257"/>
      <c r="B671" s="57"/>
      <c r="C671" s="57"/>
      <c r="D671" s="57"/>
      <c r="E671" s="57"/>
      <c r="F671" s="57"/>
      <c r="G671" s="57"/>
      <c r="H671" s="57"/>
      <c r="I671" s="57"/>
      <c r="J671" s="57"/>
      <c r="K671" s="57"/>
      <c r="L671" s="57"/>
      <c r="M671" s="57"/>
      <c r="N671" s="57"/>
      <c r="O671" s="57"/>
      <c r="P671" s="57"/>
      <c r="Q671" s="57"/>
      <c r="R671" s="2209"/>
      <c r="S671" s="257"/>
    </row>
    <row r="672" spans="1:19">
      <c r="A672" s="257"/>
      <c r="B672" s="57"/>
      <c r="C672" s="57"/>
      <c r="D672" s="57"/>
      <c r="E672" s="57"/>
      <c r="F672" s="57"/>
      <c r="G672" s="57"/>
      <c r="H672" s="57"/>
      <c r="I672" s="57"/>
      <c r="J672" s="57"/>
      <c r="K672" s="57"/>
      <c r="L672" s="57"/>
      <c r="M672" s="57"/>
      <c r="N672" s="57"/>
      <c r="O672" s="57"/>
      <c r="P672" s="57"/>
      <c r="Q672" s="57"/>
      <c r="R672" s="2209"/>
      <c r="S672" s="257"/>
    </row>
    <row r="673" spans="1:19">
      <c r="A673" s="257"/>
      <c r="B673" s="57"/>
      <c r="C673" s="57"/>
      <c r="D673" s="57"/>
      <c r="E673" s="57"/>
      <c r="F673" s="57"/>
      <c r="G673" s="57"/>
      <c r="H673" s="57"/>
      <c r="I673" s="57"/>
      <c r="J673" s="57"/>
      <c r="K673" s="57"/>
      <c r="L673" s="57"/>
      <c r="M673" s="57"/>
      <c r="N673" s="57"/>
      <c r="O673" s="57"/>
      <c r="P673" s="57"/>
      <c r="Q673" s="57"/>
      <c r="R673" s="2209"/>
      <c r="S673" s="257"/>
    </row>
    <row r="674" spans="1:19">
      <c r="A674" s="257"/>
      <c r="B674" s="57"/>
      <c r="C674" s="57"/>
      <c r="D674" s="57"/>
      <c r="E674" s="57"/>
      <c r="F674" s="57"/>
      <c r="G674" s="57"/>
      <c r="H674" s="57"/>
      <c r="I674" s="57"/>
      <c r="J674" s="57"/>
      <c r="K674" s="57"/>
      <c r="L674" s="57"/>
      <c r="M674" s="57"/>
      <c r="N674" s="57"/>
      <c r="O674" s="57"/>
      <c r="P674" s="57"/>
      <c r="Q674" s="57"/>
      <c r="R674" s="2209"/>
      <c r="S674" s="257"/>
    </row>
    <row r="675" spans="1:19">
      <c r="A675" s="257"/>
      <c r="B675" s="57"/>
      <c r="C675" s="57"/>
      <c r="D675" s="57"/>
      <c r="E675" s="57"/>
      <c r="F675" s="57"/>
      <c r="G675" s="57"/>
      <c r="H675" s="57"/>
      <c r="I675" s="57"/>
      <c r="J675" s="57"/>
      <c r="K675" s="57"/>
      <c r="L675" s="57"/>
      <c r="M675" s="57"/>
      <c r="N675" s="57"/>
      <c r="O675" s="57"/>
      <c r="P675" s="57"/>
      <c r="Q675" s="57"/>
      <c r="R675" s="2209"/>
      <c r="S675" s="257"/>
    </row>
    <row r="676" spans="1:19">
      <c r="A676" s="257"/>
      <c r="B676" s="57"/>
      <c r="C676" s="57"/>
      <c r="D676" s="57"/>
      <c r="E676" s="57"/>
      <c r="F676" s="57"/>
      <c r="G676" s="57"/>
      <c r="H676" s="57"/>
      <c r="I676" s="57"/>
      <c r="J676" s="57"/>
      <c r="K676" s="57"/>
      <c r="L676" s="57"/>
      <c r="M676" s="57"/>
      <c r="N676" s="57"/>
      <c r="O676" s="57"/>
      <c r="P676" s="57"/>
      <c r="Q676" s="57"/>
      <c r="R676" s="2209"/>
      <c r="S676" s="257"/>
    </row>
    <row r="677" spans="1:19">
      <c r="A677" s="257"/>
      <c r="B677" s="57"/>
      <c r="C677" s="57"/>
      <c r="D677" s="57"/>
      <c r="E677" s="57"/>
      <c r="F677" s="57"/>
      <c r="G677" s="57"/>
      <c r="H677" s="57"/>
      <c r="I677" s="57"/>
      <c r="J677" s="57"/>
      <c r="K677" s="57"/>
      <c r="L677" s="57"/>
      <c r="M677" s="57"/>
      <c r="N677" s="57"/>
      <c r="O677" s="57"/>
      <c r="P677" s="57"/>
      <c r="Q677" s="57"/>
      <c r="R677" s="2209"/>
      <c r="S677" s="257"/>
    </row>
    <row r="678" spans="1:19">
      <c r="A678" s="257"/>
      <c r="B678" s="57"/>
      <c r="C678" s="57"/>
      <c r="D678" s="57"/>
      <c r="E678" s="57"/>
      <c r="F678" s="57"/>
      <c r="G678" s="57"/>
      <c r="H678" s="57"/>
      <c r="I678" s="57"/>
      <c r="J678" s="57"/>
      <c r="K678" s="57"/>
      <c r="L678" s="57"/>
      <c r="M678" s="57"/>
      <c r="N678" s="57"/>
      <c r="O678" s="57"/>
      <c r="P678" s="57"/>
      <c r="Q678" s="57"/>
      <c r="R678" s="2209"/>
      <c r="S678" s="257"/>
    </row>
    <row r="679" spans="1:19">
      <c r="A679" s="257"/>
      <c r="B679" s="57"/>
      <c r="C679" s="57"/>
      <c r="D679" s="57"/>
      <c r="E679" s="57"/>
      <c r="F679" s="57"/>
      <c r="G679" s="57"/>
      <c r="H679" s="57"/>
      <c r="I679" s="57"/>
      <c r="J679" s="57"/>
      <c r="K679" s="57"/>
      <c r="L679" s="57"/>
      <c r="M679" s="57"/>
      <c r="N679" s="57"/>
      <c r="O679" s="57"/>
      <c r="P679" s="57"/>
      <c r="Q679" s="57"/>
      <c r="R679" s="2209"/>
      <c r="S679" s="257"/>
    </row>
    <row r="680" spans="1:19">
      <c r="A680" s="257"/>
      <c r="B680" s="57"/>
      <c r="C680" s="57"/>
      <c r="D680" s="57"/>
      <c r="E680" s="57"/>
      <c r="F680" s="57"/>
      <c r="G680" s="57"/>
      <c r="H680" s="57"/>
      <c r="I680" s="57"/>
      <c r="J680" s="57"/>
      <c r="K680" s="57"/>
      <c r="L680" s="57"/>
      <c r="M680" s="57"/>
      <c r="N680" s="57"/>
      <c r="O680" s="57"/>
      <c r="P680" s="57"/>
      <c r="Q680" s="57"/>
      <c r="R680" s="2209"/>
      <c r="S680" s="257"/>
    </row>
    <row r="681" spans="1:19">
      <c r="A681" s="257"/>
      <c r="B681" s="57"/>
      <c r="C681" s="57"/>
      <c r="D681" s="57"/>
      <c r="E681" s="57"/>
      <c r="F681" s="57"/>
      <c r="G681" s="57"/>
      <c r="H681" s="57"/>
      <c r="I681" s="57"/>
      <c r="J681" s="57"/>
      <c r="K681" s="57"/>
      <c r="L681" s="57"/>
      <c r="M681" s="57"/>
      <c r="N681" s="57"/>
      <c r="O681" s="57"/>
      <c r="P681" s="57"/>
      <c r="Q681" s="57"/>
      <c r="R681" s="2209"/>
      <c r="S681" s="257"/>
    </row>
    <row r="682" spans="1:19">
      <c r="A682" s="257"/>
      <c r="B682" s="57"/>
      <c r="C682" s="57"/>
      <c r="D682" s="57"/>
      <c r="E682" s="57"/>
      <c r="F682" s="57"/>
      <c r="G682" s="57"/>
      <c r="H682" s="57"/>
      <c r="I682" s="57"/>
      <c r="J682" s="57"/>
      <c r="K682" s="57"/>
      <c r="L682" s="57"/>
      <c r="M682" s="57"/>
      <c r="N682" s="57"/>
      <c r="O682" s="57"/>
      <c r="P682" s="57"/>
      <c r="Q682" s="57"/>
      <c r="R682" s="2209"/>
      <c r="S682" s="257"/>
    </row>
  </sheetData>
  <sheetProtection password="C66D" sheet="1" objects="1" scenarios="1" formatCells="0" formatColumns="0" formatRows="0"/>
  <mergeCells count="2">
    <mergeCell ref="C22:Q22"/>
    <mergeCell ref="C1:S1"/>
  </mergeCells>
  <phoneticPr fontId="26" type="noConversion"/>
  <dataValidations count="7">
    <dataValidation type="list" allowBlank="1" showInputMessage="1" showErrorMessage="1" sqref="D24:D524" xr:uid="{00000000-0002-0000-2B00-000000000000}">
      <formula1>一修多修正项2</formula1>
    </dataValidation>
    <dataValidation type="list" allowBlank="1" showInputMessage="1" showErrorMessage="1" sqref="F24:F524" xr:uid="{00000000-0002-0000-2B00-000001000000}">
      <formula1>一修多修正项3</formula1>
    </dataValidation>
    <dataValidation type="list" allowBlank="1" showInputMessage="1" showErrorMessage="1" sqref="H24:H524" xr:uid="{00000000-0002-0000-2B00-000002000000}">
      <formula1>一修多修正项4</formula1>
    </dataValidation>
    <dataValidation type="list" allowBlank="1" showInputMessage="1" showErrorMessage="1" sqref="J24:J524" xr:uid="{00000000-0002-0000-2B00-000003000000}">
      <formula1>一修多修正项5</formula1>
    </dataValidation>
    <dataValidation type="list" allowBlank="1" showInputMessage="1" showErrorMessage="1" sqref="L24:L524" xr:uid="{00000000-0002-0000-2B00-000004000000}">
      <formula1>一修多修正项6</formula1>
    </dataValidation>
    <dataValidation type="list" allowBlank="1" showInputMessage="1" showErrorMessage="1" sqref="N24:N524" xr:uid="{00000000-0002-0000-2B00-000005000000}">
      <formula1>一修多修正项7</formula1>
    </dataValidation>
    <dataValidation type="list" allowBlank="1" showInputMessage="1" showErrorMessage="1" sqref="P24:P524" xr:uid="{00000000-0002-0000-2B00-000006000000}">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63"/>
  <sheetViews>
    <sheetView workbookViewId="0">
      <selection activeCell="I5" sqref="I5"/>
    </sheetView>
  </sheetViews>
  <sheetFormatPr defaultRowHeight="14.4"/>
  <cols>
    <col min="1" max="1" width="4.88671875" style="2894" customWidth="1"/>
    <col min="2" max="2" width="13.21875" style="2900" customWidth="1"/>
    <col min="3" max="3" width="15.6640625" style="2900" customWidth="1"/>
    <col min="4" max="4" width="9.33203125" style="2900" bestFit="1" customWidth="1"/>
    <col min="5" max="5" width="13.44140625" style="2900" customWidth="1"/>
    <col min="6" max="6" width="9" style="2900"/>
    <col min="7" max="7" width="9.33203125" style="2900" bestFit="1" customWidth="1"/>
    <col min="8" max="9" width="9" style="2900"/>
    <col min="10" max="10" width="9.33203125" style="2900" bestFit="1" customWidth="1"/>
    <col min="11" max="11" width="4" style="2894" customWidth="1"/>
    <col min="12" max="12" width="5.109375" style="2900" customWidth="1"/>
    <col min="13" max="13" width="13.77734375" style="2900" customWidth="1"/>
    <col min="14" max="256" width="9" style="2900"/>
    <col min="257" max="257" width="4.88671875" style="2892" customWidth="1"/>
    <col min="258" max="258" width="13.21875" style="2892" customWidth="1"/>
    <col min="259" max="259" width="15.6640625" style="2892" customWidth="1"/>
    <col min="260" max="260" width="9.33203125" style="2892" bestFit="1" customWidth="1"/>
    <col min="261" max="261" width="13.44140625" style="2892" customWidth="1"/>
    <col min="262" max="262" width="9" style="2892"/>
    <col min="263" max="263" width="9.33203125" style="2892" bestFit="1" customWidth="1"/>
    <col min="264" max="265" width="9" style="2892"/>
    <col min="266" max="266" width="9.33203125" style="2892" bestFit="1" customWidth="1"/>
    <col min="267" max="267" width="4" style="2892" customWidth="1"/>
    <col min="268" max="268" width="5.109375" style="2892" customWidth="1"/>
    <col min="269" max="269" width="13.77734375" style="2892" customWidth="1"/>
    <col min="270" max="512" width="9" style="2892"/>
    <col min="513" max="513" width="4.88671875" style="2892" customWidth="1"/>
    <col min="514" max="514" width="13.21875" style="2892" customWidth="1"/>
    <col min="515" max="515" width="15.6640625" style="2892" customWidth="1"/>
    <col min="516" max="516" width="9.33203125" style="2892" bestFit="1" customWidth="1"/>
    <col min="517" max="517" width="13.44140625" style="2892" customWidth="1"/>
    <col min="518" max="518" width="9" style="2892"/>
    <col min="519" max="519" width="9.33203125" style="2892" bestFit="1" customWidth="1"/>
    <col min="520" max="521" width="9" style="2892"/>
    <col min="522" max="522" width="9.33203125" style="2892" bestFit="1" customWidth="1"/>
    <col min="523" max="523" width="4" style="2892" customWidth="1"/>
    <col min="524" max="524" width="5.109375" style="2892" customWidth="1"/>
    <col min="525" max="525" width="13.77734375" style="2892" customWidth="1"/>
    <col min="526" max="768" width="9" style="2892"/>
    <col min="769" max="769" width="4.88671875" style="2892" customWidth="1"/>
    <col min="770" max="770" width="13.21875" style="2892" customWidth="1"/>
    <col min="771" max="771" width="15.6640625" style="2892" customWidth="1"/>
    <col min="772" max="772" width="9.33203125" style="2892" bestFit="1" customWidth="1"/>
    <col min="773" max="773" width="13.44140625" style="2892" customWidth="1"/>
    <col min="774" max="774" width="9" style="2892"/>
    <col min="775" max="775" width="9.33203125" style="2892" bestFit="1" customWidth="1"/>
    <col min="776" max="777" width="9" style="2892"/>
    <col min="778" max="778" width="9.33203125" style="2892" bestFit="1" customWidth="1"/>
    <col min="779" max="779" width="4" style="2892" customWidth="1"/>
    <col min="780" max="780" width="5.109375" style="2892" customWidth="1"/>
    <col min="781" max="781" width="13.77734375" style="2892" customWidth="1"/>
    <col min="782" max="1024" width="9" style="2892"/>
    <col min="1025" max="1025" width="4.88671875" style="2892" customWidth="1"/>
    <col min="1026" max="1026" width="13.21875" style="2892" customWidth="1"/>
    <col min="1027" max="1027" width="15.6640625" style="2892" customWidth="1"/>
    <col min="1028" max="1028" width="9.33203125" style="2892" bestFit="1" customWidth="1"/>
    <col min="1029" max="1029" width="13.44140625" style="2892" customWidth="1"/>
    <col min="1030" max="1030" width="9" style="2892"/>
    <col min="1031" max="1031" width="9.33203125" style="2892" bestFit="1" customWidth="1"/>
    <col min="1032" max="1033" width="9" style="2892"/>
    <col min="1034" max="1034" width="9.33203125" style="2892" bestFit="1" customWidth="1"/>
    <col min="1035" max="1035" width="4" style="2892" customWidth="1"/>
    <col min="1036" max="1036" width="5.109375" style="2892" customWidth="1"/>
    <col min="1037" max="1037" width="13.77734375" style="2892" customWidth="1"/>
    <col min="1038" max="1280" width="9" style="2892"/>
    <col min="1281" max="1281" width="4.88671875" style="2892" customWidth="1"/>
    <col min="1282" max="1282" width="13.21875" style="2892" customWidth="1"/>
    <col min="1283" max="1283" width="15.6640625" style="2892" customWidth="1"/>
    <col min="1284" max="1284" width="9.33203125" style="2892" bestFit="1" customWidth="1"/>
    <col min="1285" max="1285" width="13.44140625" style="2892" customWidth="1"/>
    <col min="1286" max="1286" width="9" style="2892"/>
    <col min="1287" max="1287" width="9.33203125" style="2892" bestFit="1" customWidth="1"/>
    <col min="1288" max="1289" width="9" style="2892"/>
    <col min="1290" max="1290" width="9.33203125" style="2892" bestFit="1" customWidth="1"/>
    <col min="1291" max="1291" width="4" style="2892" customWidth="1"/>
    <col min="1292" max="1292" width="5.109375" style="2892" customWidth="1"/>
    <col min="1293" max="1293" width="13.77734375" style="2892" customWidth="1"/>
    <col min="1294" max="1536" width="9" style="2892"/>
    <col min="1537" max="1537" width="4.88671875" style="2892" customWidth="1"/>
    <col min="1538" max="1538" width="13.21875" style="2892" customWidth="1"/>
    <col min="1539" max="1539" width="15.6640625" style="2892" customWidth="1"/>
    <col min="1540" max="1540" width="9.33203125" style="2892" bestFit="1" customWidth="1"/>
    <col min="1541" max="1541" width="13.44140625" style="2892" customWidth="1"/>
    <col min="1542" max="1542" width="9" style="2892"/>
    <col min="1543" max="1543" width="9.33203125" style="2892" bestFit="1" customWidth="1"/>
    <col min="1544" max="1545" width="9" style="2892"/>
    <col min="1546" max="1546" width="9.33203125" style="2892" bestFit="1" customWidth="1"/>
    <col min="1547" max="1547" width="4" style="2892" customWidth="1"/>
    <col min="1548" max="1548" width="5.109375" style="2892" customWidth="1"/>
    <col min="1549" max="1549" width="13.77734375" style="2892" customWidth="1"/>
    <col min="1550" max="1792" width="9" style="2892"/>
    <col min="1793" max="1793" width="4.88671875" style="2892" customWidth="1"/>
    <col min="1794" max="1794" width="13.21875" style="2892" customWidth="1"/>
    <col min="1795" max="1795" width="15.6640625" style="2892" customWidth="1"/>
    <col min="1796" max="1796" width="9.33203125" style="2892" bestFit="1" customWidth="1"/>
    <col min="1797" max="1797" width="13.44140625" style="2892" customWidth="1"/>
    <col min="1798" max="1798" width="9" style="2892"/>
    <col min="1799" max="1799" width="9.33203125" style="2892" bestFit="1" customWidth="1"/>
    <col min="1800" max="1801" width="9" style="2892"/>
    <col min="1802" max="1802" width="9.33203125" style="2892" bestFit="1" customWidth="1"/>
    <col min="1803" max="1803" width="4" style="2892" customWidth="1"/>
    <col min="1804" max="1804" width="5.109375" style="2892" customWidth="1"/>
    <col min="1805" max="1805" width="13.77734375" style="2892" customWidth="1"/>
    <col min="1806" max="2048" width="9" style="2892"/>
    <col min="2049" max="2049" width="4.88671875" style="2892" customWidth="1"/>
    <col min="2050" max="2050" width="13.21875" style="2892" customWidth="1"/>
    <col min="2051" max="2051" width="15.6640625" style="2892" customWidth="1"/>
    <col min="2052" max="2052" width="9.33203125" style="2892" bestFit="1" customWidth="1"/>
    <col min="2053" max="2053" width="13.44140625" style="2892" customWidth="1"/>
    <col min="2054" max="2054" width="9" style="2892"/>
    <col min="2055" max="2055" width="9.33203125" style="2892" bestFit="1" customWidth="1"/>
    <col min="2056" max="2057" width="9" style="2892"/>
    <col min="2058" max="2058" width="9.33203125" style="2892" bestFit="1" customWidth="1"/>
    <col min="2059" max="2059" width="4" style="2892" customWidth="1"/>
    <col min="2060" max="2060" width="5.109375" style="2892" customWidth="1"/>
    <col min="2061" max="2061" width="13.77734375" style="2892" customWidth="1"/>
    <col min="2062" max="2304" width="9" style="2892"/>
    <col min="2305" max="2305" width="4.88671875" style="2892" customWidth="1"/>
    <col min="2306" max="2306" width="13.21875" style="2892" customWidth="1"/>
    <col min="2307" max="2307" width="15.6640625" style="2892" customWidth="1"/>
    <col min="2308" max="2308" width="9.33203125" style="2892" bestFit="1" customWidth="1"/>
    <col min="2309" max="2309" width="13.44140625" style="2892" customWidth="1"/>
    <col min="2310" max="2310" width="9" style="2892"/>
    <col min="2311" max="2311" width="9.33203125" style="2892" bestFit="1" customWidth="1"/>
    <col min="2312" max="2313" width="9" style="2892"/>
    <col min="2314" max="2314" width="9.33203125" style="2892" bestFit="1" customWidth="1"/>
    <col min="2315" max="2315" width="4" style="2892" customWidth="1"/>
    <col min="2316" max="2316" width="5.109375" style="2892" customWidth="1"/>
    <col min="2317" max="2317" width="13.77734375" style="2892" customWidth="1"/>
    <col min="2318" max="2560" width="9" style="2892"/>
    <col min="2561" max="2561" width="4.88671875" style="2892" customWidth="1"/>
    <col min="2562" max="2562" width="13.21875" style="2892" customWidth="1"/>
    <col min="2563" max="2563" width="15.6640625" style="2892" customWidth="1"/>
    <col min="2564" max="2564" width="9.33203125" style="2892" bestFit="1" customWidth="1"/>
    <col min="2565" max="2565" width="13.44140625" style="2892" customWidth="1"/>
    <col min="2566" max="2566" width="9" style="2892"/>
    <col min="2567" max="2567" width="9.33203125" style="2892" bestFit="1" customWidth="1"/>
    <col min="2568" max="2569" width="9" style="2892"/>
    <col min="2570" max="2570" width="9.33203125" style="2892" bestFit="1" customWidth="1"/>
    <col min="2571" max="2571" width="4" style="2892" customWidth="1"/>
    <col min="2572" max="2572" width="5.109375" style="2892" customWidth="1"/>
    <col min="2573" max="2573" width="13.77734375" style="2892" customWidth="1"/>
    <col min="2574" max="2816" width="9" style="2892"/>
    <col min="2817" max="2817" width="4.88671875" style="2892" customWidth="1"/>
    <col min="2818" max="2818" width="13.21875" style="2892" customWidth="1"/>
    <col min="2819" max="2819" width="15.6640625" style="2892" customWidth="1"/>
    <col min="2820" max="2820" width="9.33203125" style="2892" bestFit="1" customWidth="1"/>
    <col min="2821" max="2821" width="13.44140625" style="2892" customWidth="1"/>
    <col min="2822" max="2822" width="9" style="2892"/>
    <col min="2823" max="2823" width="9.33203125" style="2892" bestFit="1" customWidth="1"/>
    <col min="2824" max="2825" width="9" style="2892"/>
    <col min="2826" max="2826" width="9.33203125" style="2892" bestFit="1" customWidth="1"/>
    <col min="2827" max="2827" width="4" style="2892" customWidth="1"/>
    <col min="2828" max="2828" width="5.109375" style="2892" customWidth="1"/>
    <col min="2829" max="2829" width="13.77734375" style="2892" customWidth="1"/>
    <col min="2830" max="3072" width="9" style="2892"/>
    <col min="3073" max="3073" width="4.88671875" style="2892" customWidth="1"/>
    <col min="3074" max="3074" width="13.21875" style="2892" customWidth="1"/>
    <col min="3075" max="3075" width="15.6640625" style="2892" customWidth="1"/>
    <col min="3076" max="3076" width="9.33203125" style="2892" bestFit="1" customWidth="1"/>
    <col min="3077" max="3077" width="13.44140625" style="2892" customWidth="1"/>
    <col min="3078" max="3078" width="9" style="2892"/>
    <col min="3079" max="3079" width="9.33203125" style="2892" bestFit="1" customWidth="1"/>
    <col min="3080" max="3081" width="9" style="2892"/>
    <col min="3082" max="3082" width="9.33203125" style="2892" bestFit="1" customWidth="1"/>
    <col min="3083" max="3083" width="4" style="2892" customWidth="1"/>
    <col min="3084" max="3084" width="5.109375" style="2892" customWidth="1"/>
    <col min="3085" max="3085" width="13.77734375" style="2892" customWidth="1"/>
    <col min="3086" max="3328" width="9" style="2892"/>
    <col min="3329" max="3329" width="4.88671875" style="2892" customWidth="1"/>
    <col min="3330" max="3330" width="13.21875" style="2892" customWidth="1"/>
    <col min="3331" max="3331" width="15.6640625" style="2892" customWidth="1"/>
    <col min="3332" max="3332" width="9.33203125" style="2892" bestFit="1" customWidth="1"/>
    <col min="3333" max="3333" width="13.44140625" style="2892" customWidth="1"/>
    <col min="3334" max="3334" width="9" style="2892"/>
    <col min="3335" max="3335" width="9.33203125" style="2892" bestFit="1" customWidth="1"/>
    <col min="3336" max="3337" width="9" style="2892"/>
    <col min="3338" max="3338" width="9.33203125" style="2892" bestFit="1" customWidth="1"/>
    <col min="3339" max="3339" width="4" style="2892" customWidth="1"/>
    <col min="3340" max="3340" width="5.109375" style="2892" customWidth="1"/>
    <col min="3341" max="3341" width="13.77734375" style="2892" customWidth="1"/>
    <col min="3342" max="3584" width="9" style="2892"/>
    <col min="3585" max="3585" width="4.88671875" style="2892" customWidth="1"/>
    <col min="3586" max="3586" width="13.21875" style="2892" customWidth="1"/>
    <col min="3587" max="3587" width="15.6640625" style="2892" customWidth="1"/>
    <col min="3588" max="3588" width="9.33203125" style="2892" bestFit="1" customWidth="1"/>
    <col min="3589" max="3589" width="13.44140625" style="2892" customWidth="1"/>
    <col min="3590" max="3590" width="9" style="2892"/>
    <col min="3591" max="3591" width="9.33203125" style="2892" bestFit="1" customWidth="1"/>
    <col min="3592" max="3593" width="9" style="2892"/>
    <col min="3594" max="3594" width="9.33203125" style="2892" bestFit="1" customWidth="1"/>
    <col min="3595" max="3595" width="4" style="2892" customWidth="1"/>
    <col min="3596" max="3596" width="5.109375" style="2892" customWidth="1"/>
    <col min="3597" max="3597" width="13.77734375" style="2892" customWidth="1"/>
    <col min="3598" max="3840" width="9" style="2892"/>
    <col min="3841" max="3841" width="4.88671875" style="2892" customWidth="1"/>
    <col min="3842" max="3842" width="13.21875" style="2892" customWidth="1"/>
    <col min="3843" max="3843" width="15.6640625" style="2892" customWidth="1"/>
    <col min="3844" max="3844" width="9.33203125" style="2892" bestFit="1" customWidth="1"/>
    <col min="3845" max="3845" width="13.44140625" style="2892" customWidth="1"/>
    <col min="3846" max="3846" width="9" style="2892"/>
    <col min="3847" max="3847" width="9.33203125" style="2892" bestFit="1" customWidth="1"/>
    <col min="3848" max="3849" width="9" style="2892"/>
    <col min="3850" max="3850" width="9.33203125" style="2892" bestFit="1" customWidth="1"/>
    <col min="3851" max="3851" width="4" style="2892" customWidth="1"/>
    <col min="3852" max="3852" width="5.109375" style="2892" customWidth="1"/>
    <col min="3853" max="3853" width="13.77734375" style="2892" customWidth="1"/>
    <col min="3854" max="4096" width="9" style="2892"/>
    <col min="4097" max="4097" width="4.88671875" style="2892" customWidth="1"/>
    <col min="4098" max="4098" width="13.21875" style="2892" customWidth="1"/>
    <col min="4099" max="4099" width="15.6640625" style="2892" customWidth="1"/>
    <col min="4100" max="4100" width="9.33203125" style="2892" bestFit="1" customWidth="1"/>
    <col min="4101" max="4101" width="13.44140625" style="2892" customWidth="1"/>
    <col min="4102" max="4102" width="9" style="2892"/>
    <col min="4103" max="4103" width="9.33203125" style="2892" bestFit="1" customWidth="1"/>
    <col min="4104" max="4105" width="9" style="2892"/>
    <col min="4106" max="4106" width="9.33203125" style="2892" bestFit="1" customWidth="1"/>
    <col min="4107" max="4107" width="4" style="2892" customWidth="1"/>
    <col min="4108" max="4108" width="5.109375" style="2892" customWidth="1"/>
    <col min="4109" max="4109" width="13.77734375" style="2892" customWidth="1"/>
    <col min="4110" max="4352" width="9" style="2892"/>
    <col min="4353" max="4353" width="4.88671875" style="2892" customWidth="1"/>
    <col min="4354" max="4354" width="13.21875" style="2892" customWidth="1"/>
    <col min="4355" max="4355" width="15.6640625" style="2892" customWidth="1"/>
    <col min="4356" max="4356" width="9.33203125" style="2892" bestFit="1" customWidth="1"/>
    <col min="4357" max="4357" width="13.44140625" style="2892" customWidth="1"/>
    <col min="4358" max="4358" width="9" style="2892"/>
    <col min="4359" max="4359" width="9.33203125" style="2892" bestFit="1" customWidth="1"/>
    <col min="4360" max="4361" width="9" style="2892"/>
    <col min="4362" max="4362" width="9.33203125" style="2892" bestFit="1" customWidth="1"/>
    <col min="4363" max="4363" width="4" style="2892" customWidth="1"/>
    <col min="4364" max="4364" width="5.109375" style="2892" customWidth="1"/>
    <col min="4365" max="4365" width="13.77734375" style="2892" customWidth="1"/>
    <col min="4366" max="4608" width="9" style="2892"/>
    <col min="4609" max="4609" width="4.88671875" style="2892" customWidth="1"/>
    <col min="4610" max="4610" width="13.21875" style="2892" customWidth="1"/>
    <col min="4611" max="4611" width="15.6640625" style="2892" customWidth="1"/>
    <col min="4612" max="4612" width="9.33203125" style="2892" bestFit="1" customWidth="1"/>
    <col min="4613" max="4613" width="13.44140625" style="2892" customWidth="1"/>
    <col min="4614" max="4614" width="9" style="2892"/>
    <col min="4615" max="4615" width="9.33203125" style="2892" bestFit="1" customWidth="1"/>
    <col min="4616" max="4617" width="9" style="2892"/>
    <col min="4618" max="4618" width="9.33203125" style="2892" bestFit="1" customWidth="1"/>
    <col min="4619" max="4619" width="4" style="2892" customWidth="1"/>
    <col min="4620" max="4620" width="5.109375" style="2892" customWidth="1"/>
    <col min="4621" max="4621" width="13.77734375" style="2892" customWidth="1"/>
    <col min="4622" max="4864" width="9" style="2892"/>
    <col min="4865" max="4865" width="4.88671875" style="2892" customWidth="1"/>
    <col min="4866" max="4866" width="13.21875" style="2892" customWidth="1"/>
    <col min="4867" max="4867" width="15.6640625" style="2892" customWidth="1"/>
    <col min="4868" max="4868" width="9.33203125" style="2892" bestFit="1" customWidth="1"/>
    <col min="4869" max="4869" width="13.44140625" style="2892" customWidth="1"/>
    <col min="4870" max="4870" width="9" style="2892"/>
    <col min="4871" max="4871" width="9.33203125" style="2892" bestFit="1" customWidth="1"/>
    <col min="4872" max="4873" width="9" style="2892"/>
    <col min="4874" max="4874" width="9.33203125" style="2892" bestFit="1" customWidth="1"/>
    <col min="4875" max="4875" width="4" style="2892" customWidth="1"/>
    <col min="4876" max="4876" width="5.109375" style="2892" customWidth="1"/>
    <col min="4877" max="4877" width="13.77734375" style="2892" customWidth="1"/>
    <col min="4878" max="5120" width="9" style="2892"/>
    <col min="5121" max="5121" width="4.88671875" style="2892" customWidth="1"/>
    <col min="5122" max="5122" width="13.21875" style="2892" customWidth="1"/>
    <col min="5123" max="5123" width="15.6640625" style="2892" customWidth="1"/>
    <col min="5124" max="5124" width="9.33203125" style="2892" bestFit="1" customWidth="1"/>
    <col min="5125" max="5125" width="13.44140625" style="2892" customWidth="1"/>
    <col min="5126" max="5126" width="9" style="2892"/>
    <col min="5127" max="5127" width="9.33203125" style="2892" bestFit="1" customWidth="1"/>
    <col min="5128" max="5129" width="9" style="2892"/>
    <col min="5130" max="5130" width="9.33203125" style="2892" bestFit="1" customWidth="1"/>
    <col min="5131" max="5131" width="4" style="2892" customWidth="1"/>
    <col min="5132" max="5132" width="5.109375" style="2892" customWidth="1"/>
    <col min="5133" max="5133" width="13.77734375" style="2892" customWidth="1"/>
    <col min="5134" max="5376" width="9" style="2892"/>
    <col min="5377" max="5377" width="4.88671875" style="2892" customWidth="1"/>
    <col min="5378" max="5378" width="13.21875" style="2892" customWidth="1"/>
    <col min="5379" max="5379" width="15.6640625" style="2892" customWidth="1"/>
    <col min="5380" max="5380" width="9.33203125" style="2892" bestFit="1" customWidth="1"/>
    <col min="5381" max="5381" width="13.44140625" style="2892" customWidth="1"/>
    <col min="5382" max="5382" width="9" style="2892"/>
    <col min="5383" max="5383" width="9.33203125" style="2892" bestFit="1" customWidth="1"/>
    <col min="5384" max="5385" width="9" style="2892"/>
    <col min="5386" max="5386" width="9.33203125" style="2892" bestFit="1" customWidth="1"/>
    <col min="5387" max="5387" width="4" style="2892" customWidth="1"/>
    <col min="5388" max="5388" width="5.109375" style="2892" customWidth="1"/>
    <col min="5389" max="5389" width="13.77734375" style="2892" customWidth="1"/>
    <col min="5390" max="5632" width="9" style="2892"/>
    <col min="5633" max="5633" width="4.88671875" style="2892" customWidth="1"/>
    <col min="5634" max="5634" width="13.21875" style="2892" customWidth="1"/>
    <col min="5635" max="5635" width="15.6640625" style="2892" customWidth="1"/>
    <col min="5636" max="5636" width="9.33203125" style="2892" bestFit="1" customWidth="1"/>
    <col min="5637" max="5637" width="13.44140625" style="2892" customWidth="1"/>
    <col min="5638" max="5638" width="9" style="2892"/>
    <col min="5639" max="5639" width="9.33203125" style="2892" bestFit="1" customWidth="1"/>
    <col min="5640" max="5641" width="9" style="2892"/>
    <col min="5642" max="5642" width="9.33203125" style="2892" bestFit="1" customWidth="1"/>
    <col min="5643" max="5643" width="4" style="2892" customWidth="1"/>
    <col min="5644" max="5644" width="5.109375" style="2892" customWidth="1"/>
    <col min="5645" max="5645" width="13.77734375" style="2892" customWidth="1"/>
    <col min="5646" max="5888" width="9" style="2892"/>
    <col min="5889" max="5889" width="4.88671875" style="2892" customWidth="1"/>
    <col min="5890" max="5890" width="13.21875" style="2892" customWidth="1"/>
    <col min="5891" max="5891" width="15.6640625" style="2892" customWidth="1"/>
    <col min="5892" max="5892" width="9.33203125" style="2892" bestFit="1" customWidth="1"/>
    <col min="5893" max="5893" width="13.44140625" style="2892" customWidth="1"/>
    <col min="5894" max="5894" width="9" style="2892"/>
    <col min="5895" max="5895" width="9.33203125" style="2892" bestFit="1" customWidth="1"/>
    <col min="5896" max="5897" width="9" style="2892"/>
    <col min="5898" max="5898" width="9.33203125" style="2892" bestFit="1" customWidth="1"/>
    <col min="5899" max="5899" width="4" style="2892" customWidth="1"/>
    <col min="5900" max="5900" width="5.109375" style="2892" customWidth="1"/>
    <col min="5901" max="5901" width="13.77734375" style="2892" customWidth="1"/>
    <col min="5902" max="6144" width="9" style="2892"/>
    <col min="6145" max="6145" width="4.88671875" style="2892" customWidth="1"/>
    <col min="6146" max="6146" width="13.21875" style="2892" customWidth="1"/>
    <col min="6147" max="6147" width="15.6640625" style="2892" customWidth="1"/>
    <col min="6148" max="6148" width="9.33203125" style="2892" bestFit="1" customWidth="1"/>
    <col min="6149" max="6149" width="13.44140625" style="2892" customWidth="1"/>
    <col min="6150" max="6150" width="9" style="2892"/>
    <col min="6151" max="6151" width="9.33203125" style="2892" bestFit="1" customWidth="1"/>
    <col min="6152" max="6153" width="9" style="2892"/>
    <col min="6154" max="6154" width="9.33203125" style="2892" bestFit="1" customWidth="1"/>
    <col min="6155" max="6155" width="4" style="2892" customWidth="1"/>
    <col min="6156" max="6156" width="5.109375" style="2892" customWidth="1"/>
    <col min="6157" max="6157" width="13.77734375" style="2892" customWidth="1"/>
    <col min="6158" max="6400" width="9" style="2892"/>
    <col min="6401" max="6401" width="4.88671875" style="2892" customWidth="1"/>
    <col min="6402" max="6402" width="13.21875" style="2892" customWidth="1"/>
    <col min="6403" max="6403" width="15.6640625" style="2892" customWidth="1"/>
    <col min="6404" max="6404" width="9.33203125" style="2892" bestFit="1" customWidth="1"/>
    <col min="6405" max="6405" width="13.44140625" style="2892" customWidth="1"/>
    <col min="6406" max="6406" width="9" style="2892"/>
    <col min="6407" max="6407" width="9.33203125" style="2892" bestFit="1" customWidth="1"/>
    <col min="6408" max="6409" width="9" style="2892"/>
    <col min="6410" max="6410" width="9.33203125" style="2892" bestFit="1" customWidth="1"/>
    <col min="6411" max="6411" width="4" style="2892" customWidth="1"/>
    <col min="6412" max="6412" width="5.109375" style="2892" customWidth="1"/>
    <col min="6413" max="6413" width="13.77734375" style="2892" customWidth="1"/>
    <col min="6414" max="6656" width="9" style="2892"/>
    <col min="6657" max="6657" width="4.88671875" style="2892" customWidth="1"/>
    <col min="6658" max="6658" width="13.21875" style="2892" customWidth="1"/>
    <col min="6659" max="6659" width="15.6640625" style="2892" customWidth="1"/>
    <col min="6660" max="6660" width="9.33203125" style="2892" bestFit="1" customWidth="1"/>
    <col min="6661" max="6661" width="13.44140625" style="2892" customWidth="1"/>
    <col min="6662" max="6662" width="9" style="2892"/>
    <col min="6663" max="6663" width="9.33203125" style="2892" bestFit="1" customWidth="1"/>
    <col min="6664" max="6665" width="9" style="2892"/>
    <col min="6666" max="6666" width="9.33203125" style="2892" bestFit="1" customWidth="1"/>
    <col min="6667" max="6667" width="4" style="2892" customWidth="1"/>
    <col min="6668" max="6668" width="5.109375" style="2892" customWidth="1"/>
    <col min="6669" max="6669" width="13.77734375" style="2892" customWidth="1"/>
    <col min="6670" max="6912" width="9" style="2892"/>
    <col min="6913" max="6913" width="4.88671875" style="2892" customWidth="1"/>
    <col min="6914" max="6914" width="13.21875" style="2892" customWidth="1"/>
    <col min="6915" max="6915" width="15.6640625" style="2892" customWidth="1"/>
    <col min="6916" max="6916" width="9.33203125" style="2892" bestFit="1" customWidth="1"/>
    <col min="6917" max="6917" width="13.44140625" style="2892" customWidth="1"/>
    <col min="6918" max="6918" width="9" style="2892"/>
    <col min="6919" max="6919" width="9.33203125" style="2892" bestFit="1" customWidth="1"/>
    <col min="6920" max="6921" width="9" style="2892"/>
    <col min="6922" max="6922" width="9.33203125" style="2892" bestFit="1" customWidth="1"/>
    <col min="6923" max="6923" width="4" style="2892" customWidth="1"/>
    <col min="6924" max="6924" width="5.109375" style="2892" customWidth="1"/>
    <col min="6925" max="6925" width="13.77734375" style="2892" customWidth="1"/>
    <col min="6926" max="7168" width="9" style="2892"/>
    <col min="7169" max="7169" width="4.88671875" style="2892" customWidth="1"/>
    <col min="7170" max="7170" width="13.21875" style="2892" customWidth="1"/>
    <col min="7171" max="7171" width="15.6640625" style="2892" customWidth="1"/>
    <col min="7172" max="7172" width="9.33203125" style="2892" bestFit="1" customWidth="1"/>
    <col min="7173" max="7173" width="13.44140625" style="2892" customWidth="1"/>
    <col min="7174" max="7174" width="9" style="2892"/>
    <col min="7175" max="7175" width="9.33203125" style="2892" bestFit="1" customWidth="1"/>
    <col min="7176" max="7177" width="9" style="2892"/>
    <col min="7178" max="7178" width="9.33203125" style="2892" bestFit="1" customWidth="1"/>
    <col min="7179" max="7179" width="4" style="2892" customWidth="1"/>
    <col min="7180" max="7180" width="5.109375" style="2892" customWidth="1"/>
    <col min="7181" max="7181" width="13.77734375" style="2892" customWidth="1"/>
    <col min="7182" max="7424" width="9" style="2892"/>
    <col min="7425" max="7425" width="4.88671875" style="2892" customWidth="1"/>
    <col min="7426" max="7426" width="13.21875" style="2892" customWidth="1"/>
    <col min="7427" max="7427" width="15.6640625" style="2892" customWidth="1"/>
    <col min="7428" max="7428" width="9.33203125" style="2892" bestFit="1" customWidth="1"/>
    <col min="7429" max="7429" width="13.44140625" style="2892" customWidth="1"/>
    <col min="7430" max="7430" width="9" style="2892"/>
    <col min="7431" max="7431" width="9.33203125" style="2892" bestFit="1" customWidth="1"/>
    <col min="7432" max="7433" width="9" style="2892"/>
    <col min="7434" max="7434" width="9.33203125" style="2892" bestFit="1" customWidth="1"/>
    <col min="7435" max="7435" width="4" style="2892" customWidth="1"/>
    <col min="7436" max="7436" width="5.109375" style="2892" customWidth="1"/>
    <col min="7437" max="7437" width="13.77734375" style="2892" customWidth="1"/>
    <col min="7438" max="7680" width="9" style="2892"/>
    <col min="7681" max="7681" width="4.88671875" style="2892" customWidth="1"/>
    <col min="7682" max="7682" width="13.21875" style="2892" customWidth="1"/>
    <col min="7683" max="7683" width="15.6640625" style="2892" customWidth="1"/>
    <col min="7684" max="7684" width="9.33203125" style="2892" bestFit="1" customWidth="1"/>
    <col min="7685" max="7685" width="13.44140625" style="2892" customWidth="1"/>
    <col min="7686" max="7686" width="9" style="2892"/>
    <col min="7687" max="7687" width="9.33203125" style="2892" bestFit="1" customWidth="1"/>
    <col min="7688" max="7689" width="9" style="2892"/>
    <col min="7690" max="7690" width="9.33203125" style="2892" bestFit="1" customWidth="1"/>
    <col min="7691" max="7691" width="4" style="2892" customWidth="1"/>
    <col min="7692" max="7692" width="5.109375" style="2892" customWidth="1"/>
    <col min="7693" max="7693" width="13.77734375" style="2892" customWidth="1"/>
    <col min="7694" max="7936" width="9" style="2892"/>
    <col min="7937" max="7937" width="4.88671875" style="2892" customWidth="1"/>
    <col min="7938" max="7938" width="13.21875" style="2892" customWidth="1"/>
    <col min="7939" max="7939" width="15.6640625" style="2892" customWidth="1"/>
    <col min="7940" max="7940" width="9.33203125" style="2892" bestFit="1" customWidth="1"/>
    <col min="7941" max="7941" width="13.44140625" style="2892" customWidth="1"/>
    <col min="7942" max="7942" width="9" style="2892"/>
    <col min="7943" max="7943" width="9.33203125" style="2892" bestFit="1" customWidth="1"/>
    <col min="7944" max="7945" width="9" style="2892"/>
    <col min="7946" max="7946" width="9.33203125" style="2892" bestFit="1" customWidth="1"/>
    <col min="7947" max="7947" width="4" style="2892" customWidth="1"/>
    <col min="7948" max="7948" width="5.109375" style="2892" customWidth="1"/>
    <col min="7949" max="7949" width="13.77734375" style="2892" customWidth="1"/>
    <col min="7950" max="8192" width="9" style="2892"/>
    <col min="8193" max="8193" width="4.88671875" style="2892" customWidth="1"/>
    <col min="8194" max="8194" width="13.21875" style="2892" customWidth="1"/>
    <col min="8195" max="8195" width="15.6640625" style="2892" customWidth="1"/>
    <col min="8196" max="8196" width="9.33203125" style="2892" bestFit="1" customWidth="1"/>
    <col min="8197" max="8197" width="13.44140625" style="2892" customWidth="1"/>
    <col min="8198" max="8198" width="9" style="2892"/>
    <col min="8199" max="8199" width="9.33203125" style="2892" bestFit="1" customWidth="1"/>
    <col min="8200" max="8201" width="9" style="2892"/>
    <col min="8202" max="8202" width="9.33203125" style="2892" bestFit="1" customWidth="1"/>
    <col min="8203" max="8203" width="4" style="2892" customWidth="1"/>
    <col min="8204" max="8204" width="5.109375" style="2892" customWidth="1"/>
    <col min="8205" max="8205" width="13.77734375" style="2892" customWidth="1"/>
    <col min="8206" max="8448" width="9" style="2892"/>
    <col min="8449" max="8449" width="4.88671875" style="2892" customWidth="1"/>
    <col min="8450" max="8450" width="13.21875" style="2892" customWidth="1"/>
    <col min="8451" max="8451" width="15.6640625" style="2892" customWidth="1"/>
    <col min="8452" max="8452" width="9.33203125" style="2892" bestFit="1" customWidth="1"/>
    <col min="8453" max="8453" width="13.44140625" style="2892" customWidth="1"/>
    <col min="8454" max="8454" width="9" style="2892"/>
    <col min="8455" max="8455" width="9.33203125" style="2892" bestFit="1" customWidth="1"/>
    <col min="8456" max="8457" width="9" style="2892"/>
    <col min="8458" max="8458" width="9.33203125" style="2892" bestFit="1" customWidth="1"/>
    <col min="8459" max="8459" width="4" style="2892" customWidth="1"/>
    <col min="8460" max="8460" width="5.109375" style="2892" customWidth="1"/>
    <col min="8461" max="8461" width="13.77734375" style="2892" customWidth="1"/>
    <col min="8462" max="8704" width="9" style="2892"/>
    <col min="8705" max="8705" width="4.88671875" style="2892" customWidth="1"/>
    <col min="8706" max="8706" width="13.21875" style="2892" customWidth="1"/>
    <col min="8707" max="8707" width="15.6640625" style="2892" customWidth="1"/>
    <col min="8708" max="8708" width="9.33203125" style="2892" bestFit="1" customWidth="1"/>
    <col min="8709" max="8709" width="13.44140625" style="2892" customWidth="1"/>
    <col min="8710" max="8710" width="9" style="2892"/>
    <col min="8711" max="8711" width="9.33203125" style="2892" bestFit="1" customWidth="1"/>
    <col min="8712" max="8713" width="9" style="2892"/>
    <col min="8714" max="8714" width="9.33203125" style="2892" bestFit="1" customWidth="1"/>
    <col min="8715" max="8715" width="4" style="2892" customWidth="1"/>
    <col min="8716" max="8716" width="5.109375" style="2892" customWidth="1"/>
    <col min="8717" max="8717" width="13.77734375" style="2892" customWidth="1"/>
    <col min="8718" max="8960" width="9" style="2892"/>
    <col min="8961" max="8961" width="4.88671875" style="2892" customWidth="1"/>
    <col min="8962" max="8962" width="13.21875" style="2892" customWidth="1"/>
    <col min="8963" max="8963" width="15.6640625" style="2892" customWidth="1"/>
    <col min="8964" max="8964" width="9.33203125" style="2892" bestFit="1" customWidth="1"/>
    <col min="8965" max="8965" width="13.44140625" style="2892" customWidth="1"/>
    <col min="8966" max="8966" width="9" style="2892"/>
    <col min="8967" max="8967" width="9.33203125" style="2892" bestFit="1" customWidth="1"/>
    <col min="8968" max="8969" width="9" style="2892"/>
    <col min="8970" max="8970" width="9.33203125" style="2892" bestFit="1" customWidth="1"/>
    <col min="8971" max="8971" width="4" style="2892" customWidth="1"/>
    <col min="8972" max="8972" width="5.109375" style="2892" customWidth="1"/>
    <col min="8973" max="8973" width="13.77734375" style="2892" customWidth="1"/>
    <col min="8974" max="9216" width="9" style="2892"/>
    <col min="9217" max="9217" width="4.88671875" style="2892" customWidth="1"/>
    <col min="9218" max="9218" width="13.21875" style="2892" customWidth="1"/>
    <col min="9219" max="9219" width="15.6640625" style="2892" customWidth="1"/>
    <col min="9220" max="9220" width="9.33203125" style="2892" bestFit="1" customWidth="1"/>
    <col min="9221" max="9221" width="13.44140625" style="2892" customWidth="1"/>
    <col min="9222" max="9222" width="9" style="2892"/>
    <col min="9223" max="9223" width="9.33203125" style="2892" bestFit="1" customWidth="1"/>
    <col min="9224" max="9225" width="9" style="2892"/>
    <col min="9226" max="9226" width="9.33203125" style="2892" bestFit="1" customWidth="1"/>
    <col min="9227" max="9227" width="4" style="2892" customWidth="1"/>
    <col min="9228" max="9228" width="5.109375" style="2892" customWidth="1"/>
    <col min="9229" max="9229" width="13.77734375" style="2892" customWidth="1"/>
    <col min="9230" max="9472" width="9" style="2892"/>
    <col min="9473" max="9473" width="4.88671875" style="2892" customWidth="1"/>
    <col min="9474" max="9474" width="13.21875" style="2892" customWidth="1"/>
    <col min="9475" max="9475" width="15.6640625" style="2892" customWidth="1"/>
    <col min="9476" max="9476" width="9.33203125" style="2892" bestFit="1" customWidth="1"/>
    <col min="9477" max="9477" width="13.44140625" style="2892" customWidth="1"/>
    <col min="9478" max="9478" width="9" style="2892"/>
    <col min="9479" max="9479" width="9.33203125" style="2892" bestFit="1" customWidth="1"/>
    <col min="9480" max="9481" width="9" style="2892"/>
    <col min="9482" max="9482" width="9.33203125" style="2892" bestFit="1" customWidth="1"/>
    <col min="9483" max="9483" width="4" style="2892" customWidth="1"/>
    <col min="9484" max="9484" width="5.109375" style="2892" customWidth="1"/>
    <col min="9485" max="9485" width="13.77734375" style="2892" customWidth="1"/>
    <col min="9486" max="9728" width="9" style="2892"/>
    <col min="9729" max="9729" width="4.88671875" style="2892" customWidth="1"/>
    <col min="9730" max="9730" width="13.21875" style="2892" customWidth="1"/>
    <col min="9731" max="9731" width="15.6640625" style="2892" customWidth="1"/>
    <col min="9732" max="9732" width="9.33203125" style="2892" bestFit="1" customWidth="1"/>
    <col min="9733" max="9733" width="13.44140625" style="2892" customWidth="1"/>
    <col min="9734" max="9734" width="9" style="2892"/>
    <col min="9735" max="9735" width="9.33203125" style="2892" bestFit="1" customWidth="1"/>
    <col min="9736" max="9737" width="9" style="2892"/>
    <col min="9738" max="9738" width="9.33203125" style="2892" bestFit="1" customWidth="1"/>
    <col min="9739" max="9739" width="4" style="2892" customWidth="1"/>
    <col min="9740" max="9740" width="5.109375" style="2892" customWidth="1"/>
    <col min="9741" max="9741" width="13.77734375" style="2892" customWidth="1"/>
    <col min="9742" max="9984" width="9" style="2892"/>
    <col min="9985" max="9985" width="4.88671875" style="2892" customWidth="1"/>
    <col min="9986" max="9986" width="13.21875" style="2892" customWidth="1"/>
    <col min="9987" max="9987" width="15.6640625" style="2892" customWidth="1"/>
    <col min="9988" max="9988" width="9.33203125" style="2892" bestFit="1" customWidth="1"/>
    <col min="9989" max="9989" width="13.44140625" style="2892" customWidth="1"/>
    <col min="9990" max="9990" width="9" style="2892"/>
    <col min="9991" max="9991" width="9.33203125" style="2892" bestFit="1" customWidth="1"/>
    <col min="9992" max="9993" width="9" style="2892"/>
    <col min="9994" max="9994" width="9.33203125" style="2892" bestFit="1" customWidth="1"/>
    <col min="9995" max="9995" width="4" style="2892" customWidth="1"/>
    <col min="9996" max="9996" width="5.109375" style="2892" customWidth="1"/>
    <col min="9997" max="9997" width="13.77734375" style="2892" customWidth="1"/>
    <col min="9998" max="10240" width="9" style="2892"/>
    <col min="10241" max="10241" width="4.88671875" style="2892" customWidth="1"/>
    <col min="10242" max="10242" width="13.21875" style="2892" customWidth="1"/>
    <col min="10243" max="10243" width="15.6640625" style="2892" customWidth="1"/>
    <col min="10244" max="10244" width="9.33203125" style="2892" bestFit="1" customWidth="1"/>
    <col min="10245" max="10245" width="13.44140625" style="2892" customWidth="1"/>
    <col min="10246" max="10246" width="9" style="2892"/>
    <col min="10247" max="10247" width="9.33203125" style="2892" bestFit="1" customWidth="1"/>
    <col min="10248" max="10249" width="9" style="2892"/>
    <col min="10250" max="10250" width="9.33203125" style="2892" bestFit="1" customWidth="1"/>
    <col min="10251" max="10251" width="4" style="2892" customWidth="1"/>
    <col min="10252" max="10252" width="5.109375" style="2892" customWidth="1"/>
    <col min="10253" max="10253" width="13.77734375" style="2892" customWidth="1"/>
    <col min="10254" max="10496" width="9" style="2892"/>
    <col min="10497" max="10497" width="4.88671875" style="2892" customWidth="1"/>
    <col min="10498" max="10498" width="13.21875" style="2892" customWidth="1"/>
    <col min="10499" max="10499" width="15.6640625" style="2892" customWidth="1"/>
    <col min="10500" max="10500" width="9.33203125" style="2892" bestFit="1" customWidth="1"/>
    <col min="10501" max="10501" width="13.44140625" style="2892" customWidth="1"/>
    <col min="10502" max="10502" width="9" style="2892"/>
    <col min="10503" max="10503" width="9.33203125" style="2892" bestFit="1" customWidth="1"/>
    <col min="10504" max="10505" width="9" style="2892"/>
    <col min="10506" max="10506" width="9.33203125" style="2892" bestFit="1" customWidth="1"/>
    <col min="10507" max="10507" width="4" style="2892" customWidth="1"/>
    <col min="10508" max="10508" width="5.109375" style="2892" customWidth="1"/>
    <col min="10509" max="10509" width="13.77734375" style="2892" customWidth="1"/>
    <col min="10510" max="10752" width="9" style="2892"/>
    <col min="10753" max="10753" width="4.88671875" style="2892" customWidth="1"/>
    <col min="10754" max="10754" width="13.21875" style="2892" customWidth="1"/>
    <col min="10755" max="10755" width="15.6640625" style="2892" customWidth="1"/>
    <col min="10756" max="10756" width="9.33203125" style="2892" bestFit="1" customWidth="1"/>
    <col min="10757" max="10757" width="13.44140625" style="2892" customWidth="1"/>
    <col min="10758" max="10758" width="9" style="2892"/>
    <col min="10759" max="10759" width="9.33203125" style="2892" bestFit="1" customWidth="1"/>
    <col min="10760" max="10761" width="9" style="2892"/>
    <col min="10762" max="10762" width="9.33203125" style="2892" bestFit="1" customWidth="1"/>
    <col min="10763" max="10763" width="4" style="2892" customWidth="1"/>
    <col min="10764" max="10764" width="5.109375" style="2892" customWidth="1"/>
    <col min="10765" max="10765" width="13.77734375" style="2892" customWidth="1"/>
    <col min="10766" max="11008" width="9" style="2892"/>
    <col min="11009" max="11009" width="4.88671875" style="2892" customWidth="1"/>
    <col min="11010" max="11010" width="13.21875" style="2892" customWidth="1"/>
    <col min="11011" max="11011" width="15.6640625" style="2892" customWidth="1"/>
    <col min="11012" max="11012" width="9.33203125" style="2892" bestFit="1" customWidth="1"/>
    <col min="11013" max="11013" width="13.44140625" style="2892" customWidth="1"/>
    <col min="11014" max="11014" width="9" style="2892"/>
    <col min="11015" max="11015" width="9.33203125" style="2892" bestFit="1" customWidth="1"/>
    <col min="11016" max="11017" width="9" style="2892"/>
    <col min="11018" max="11018" width="9.33203125" style="2892" bestFit="1" customWidth="1"/>
    <col min="11019" max="11019" width="4" style="2892" customWidth="1"/>
    <col min="11020" max="11020" width="5.109375" style="2892" customWidth="1"/>
    <col min="11021" max="11021" width="13.77734375" style="2892" customWidth="1"/>
    <col min="11022" max="11264" width="9" style="2892"/>
    <col min="11265" max="11265" width="4.88671875" style="2892" customWidth="1"/>
    <col min="11266" max="11266" width="13.21875" style="2892" customWidth="1"/>
    <col min="11267" max="11267" width="15.6640625" style="2892" customWidth="1"/>
    <col min="11268" max="11268" width="9.33203125" style="2892" bestFit="1" customWidth="1"/>
    <col min="11269" max="11269" width="13.44140625" style="2892" customWidth="1"/>
    <col min="11270" max="11270" width="9" style="2892"/>
    <col min="11271" max="11271" width="9.33203125" style="2892" bestFit="1" customWidth="1"/>
    <col min="11272" max="11273" width="9" style="2892"/>
    <col min="11274" max="11274" width="9.33203125" style="2892" bestFit="1" customWidth="1"/>
    <col min="11275" max="11275" width="4" style="2892" customWidth="1"/>
    <col min="11276" max="11276" width="5.109375" style="2892" customWidth="1"/>
    <col min="11277" max="11277" width="13.77734375" style="2892" customWidth="1"/>
    <col min="11278" max="11520" width="9" style="2892"/>
    <col min="11521" max="11521" width="4.88671875" style="2892" customWidth="1"/>
    <col min="11522" max="11522" width="13.21875" style="2892" customWidth="1"/>
    <col min="11523" max="11523" width="15.6640625" style="2892" customWidth="1"/>
    <col min="11524" max="11524" width="9.33203125" style="2892" bestFit="1" customWidth="1"/>
    <col min="11525" max="11525" width="13.44140625" style="2892" customWidth="1"/>
    <col min="11526" max="11526" width="9" style="2892"/>
    <col min="11527" max="11527" width="9.33203125" style="2892" bestFit="1" customWidth="1"/>
    <col min="11528" max="11529" width="9" style="2892"/>
    <col min="11530" max="11530" width="9.33203125" style="2892" bestFit="1" customWidth="1"/>
    <col min="11531" max="11531" width="4" style="2892" customWidth="1"/>
    <col min="11532" max="11532" width="5.109375" style="2892" customWidth="1"/>
    <col min="11533" max="11533" width="13.77734375" style="2892" customWidth="1"/>
    <col min="11534" max="11776" width="9" style="2892"/>
    <col min="11777" max="11777" width="4.88671875" style="2892" customWidth="1"/>
    <col min="11778" max="11778" width="13.21875" style="2892" customWidth="1"/>
    <col min="11779" max="11779" width="15.6640625" style="2892" customWidth="1"/>
    <col min="11780" max="11780" width="9.33203125" style="2892" bestFit="1" customWidth="1"/>
    <col min="11781" max="11781" width="13.44140625" style="2892" customWidth="1"/>
    <col min="11782" max="11782" width="9" style="2892"/>
    <col min="11783" max="11783" width="9.33203125" style="2892" bestFit="1" customWidth="1"/>
    <col min="11784" max="11785" width="9" style="2892"/>
    <col min="11786" max="11786" width="9.33203125" style="2892" bestFit="1" customWidth="1"/>
    <col min="11787" max="11787" width="4" style="2892" customWidth="1"/>
    <col min="11788" max="11788" width="5.109375" style="2892" customWidth="1"/>
    <col min="11789" max="11789" width="13.77734375" style="2892" customWidth="1"/>
    <col min="11790" max="12032" width="9" style="2892"/>
    <col min="12033" max="12033" width="4.88671875" style="2892" customWidth="1"/>
    <col min="12034" max="12034" width="13.21875" style="2892" customWidth="1"/>
    <col min="12035" max="12035" width="15.6640625" style="2892" customWidth="1"/>
    <col min="12036" max="12036" width="9.33203125" style="2892" bestFit="1" customWidth="1"/>
    <col min="12037" max="12037" width="13.44140625" style="2892" customWidth="1"/>
    <col min="12038" max="12038" width="9" style="2892"/>
    <col min="12039" max="12039" width="9.33203125" style="2892" bestFit="1" customWidth="1"/>
    <col min="12040" max="12041" width="9" style="2892"/>
    <col min="12042" max="12042" width="9.33203125" style="2892" bestFit="1" customWidth="1"/>
    <col min="12043" max="12043" width="4" style="2892" customWidth="1"/>
    <col min="12044" max="12044" width="5.109375" style="2892" customWidth="1"/>
    <col min="12045" max="12045" width="13.77734375" style="2892" customWidth="1"/>
    <col min="12046" max="12288" width="9" style="2892"/>
    <col min="12289" max="12289" width="4.88671875" style="2892" customWidth="1"/>
    <col min="12290" max="12290" width="13.21875" style="2892" customWidth="1"/>
    <col min="12291" max="12291" width="15.6640625" style="2892" customWidth="1"/>
    <col min="12292" max="12292" width="9.33203125" style="2892" bestFit="1" customWidth="1"/>
    <col min="12293" max="12293" width="13.44140625" style="2892" customWidth="1"/>
    <col min="12294" max="12294" width="9" style="2892"/>
    <col min="12295" max="12295" width="9.33203125" style="2892" bestFit="1" customWidth="1"/>
    <col min="12296" max="12297" width="9" style="2892"/>
    <col min="12298" max="12298" width="9.33203125" style="2892" bestFit="1" customWidth="1"/>
    <col min="12299" max="12299" width="4" style="2892" customWidth="1"/>
    <col min="12300" max="12300" width="5.109375" style="2892" customWidth="1"/>
    <col min="12301" max="12301" width="13.77734375" style="2892" customWidth="1"/>
    <col min="12302" max="12544" width="9" style="2892"/>
    <col min="12545" max="12545" width="4.88671875" style="2892" customWidth="1"/>
    <col min="12546" max="12546" width="13.21875" style="2892" customWidth="1"/>
    <col min="12547" max="12547" width="15.6640625" style="2892" customWidth="1"/>
    <col min="12548" max="12548" width="9.33203125" style="2892" bestFit="1" customWidth="1"/>
    <col min="12549" max="12549" width="13.44140625" style="2892" customWidth="1"/>
    <col min="12550" max="12550" width="9" style="2892"/>
    <col min="12551" max="12551" width="9.33203125" style="2892" bestFit="1" customWidth="1"/>
    <col min="12552" max="12553" width="9" style="2892"/>
    <col min="12554" max="12554" width="9.33203125" style="2892" bestFit="1" customWidth="1"/>
    <col min="12555" max="12555" width="4" style="2892" customWidth="1"/>
    <col min="12556" max="12556" width="5.109375" style="2892" customWidth="1"/>
    <col min="12557" max="12557" width="13.77734375" style="2892" customWidth="1"/>
    <col min="12558" max="12800" width="9" style="2892"/>
    <col min="12801" max="12801" width="4.88671875" style="2892" customWidth="1"/>
    <col min="12802" max="12802" width="13.21875" style="2892" customWidth="1"/>
    <col min="12803" max="12803" width="15.6640625" style="2892" customWidth="1"/>
    <col min="12804" max="12804" width="9.33203125" style="2892" bestFit="1" customWidth="1"/>
    <col min="12805" max="12805" width="13.44140625" style="2892" customWidth="1"/>
    <col min="12806" max="12806" width="9" style="2892"/>
    <col min="12807" max="12807" width="9.33203125" style="2892" bestFit="1" customWidth="1"/>
    <col min="12808" max="12809" width="9" style="2892"/>
    <col min="12810" max="12810" width="9.33203125" style="2892" bestFit="1" customWidth="1"/>
    <col min="12811" max="12811" width="4" style="2892" customWidth="1"/>
    <col min="12812" max="12812" width="5.109375" style="2892" customWidth="1"/>
    <col min="12813" max="12813" width="13.77734375" style="2892" customWidth="1"/>
    <col min="12814" max="13056" width="9" style="2892"/>
    <col min="13057" max="13057" width="4.88671875" style="2892" customWidth="1"/>
    <col min="13058" max="13058" width="13.21875" style="2892" customWidth="1"/>
    <col min="13059" max="13059" width="15.6640625" style="2892" customWidth="1"/>
    <col min="13060" max="13060" width="9.33203125" style="2892" bestFit="1" customWidth="1"/>
    <col min="13061" max="13061" width="13.44140625" style="2892" customWidth="1"/>
    <col min="13062" max="13062" width="9" style="2892"/>
    <col min="13063" max="13063" width="9.33203125" style="2892" bestFit="1" customWidth="1"/>
    <col min="13064" max="13065" width="9" style="2892"/>
    <col min="13066" max="13066" width="9.33203125" style="2892" bestFit="1" customWidth="1"/>
    <col min="13067" max="13067" width="4" style="2892" customWidth="1"/>
    <col min="13068" max="13068" width="5.109375" style="2892" customWidth="1"/>
    <col min="13069" max="13069" width="13.77734375" style="2892" customWidth="1"/>
    <col min="13070" max="13312" width="9" style="2892"/>
    <col min="13313" max="13313" width="4.88671875" style="2892" customWidth="1"/>
    <col min="13314" max="13314" width="13.21875" style="2892" customWidth="1"/>
    <col min="13315" max="13315" width="15.6640625" style="2892" customWidth="1"/>
    <col min="13316" max="13316" width="9.33203125" style="2892" bestFit="1" customWidth="1"/>
    <col min="13317" max="13317" width="13.44140625" style="2892" customWidth="1"/>
    <col min="13318" max="13318" width="9" style="2892"/>
    <col min="13319" max="13319" width="9.33203125" style="2892" bestFit="1" customWidth="1"/>
    <col min="13320" max="13321" width="9" style="2892"/>
    <col min="13322" max="13322" width="9.33203125" style="2892" bestFit="1" customWidth="1"/>
    <col min="13323" max="13323" width="4" style="2892" customWidth="1"/>
    <col min="13324" max="13324" width="5.109375" style="2892" customWidth="1"/>
    <col min="13325" max="13325" width="13.77734375" style="2892" customWidth="1"/>
    <col min="13326" max="13568" width="9" style="2892"/>
    <col min="13569" max="13569" width="4.88671875" style="2892" customWidth="1"/>
    <col min="13570" max="13570" width="13.21875" style="2892" customWidth="1"/>
    <col min="13571" max="13571" width="15.6640625" style="2892" customWidth="1"/>
    <col min="13572" max="13572" width="9.33203125" style="2892" bestFit="1" customWidth="1"/>
    <col min="13573" max="13573" width="13.44140625" style="2892" customWidth="1"/>
    <col min="13574" max="13574" width="9" style="2892"/>
    <col min="13575" max="13575" width="9.33203125" style="2892" bestFit="1" customWidth="1"/>
    <col min="13576" max="13577" width="9" style="2892"/>
    <col min="13578" max="13578" width="9.33203125" style="2892" bestFit="1" customWidth="1"/>
    <col min="13579" max="13579" width="4" style="2892" customWidth="1"/>
    <col min="13580" max="13580" width="5.109375" style="2892" customWidth="1"/>
    <col min="13581" max="13581" width="13.77734375" style="2892" customWidth="1"/>
    <col min="13582" max="13824" width="9" style="2892"/>
    <col min="13825" max="13825" width="4.88671875" style="2892" customWidth="1"/>
    <col min="13826" max="13826" width="13.21875" style="2892" customWidth="1"/>
    <col min="13827" max="13827" width="15.6640625" style="2892" customWidth="1"/>
    <col min="13828" max="13828" width="9.33203125" style="2892" bestFit="1" customWidth="1"/>
    <col min="13829" max="13829" width="13.44140625" style="2892" customWidth="1"/>
    <col min="13830" max="13830" width="9" style="2892"/>
    <col min="13831" max="13831" width="9.33203125" style="2892" bestFit="1" customWidth="1"/>
    <col min="13832" max="13833" width="9" style="2892"/>
    <col min="13834" max="13834" width="9.33203125" style="2892" bestFit="1" customWidth="1"/>
    <col min="13835" max="13835" width="4" style="2892" customWidth="1"/>
    <col min="13836" max="13836" width="5.109375" style="2892" customWidth="1"/>
    <col min="13837" max="13837" width="13.77734375" style="2892" customWidth="1"/>
    <col min="13838" max="14080" width="9" style="2892"/>
    <col min="14081" max="14081" width="4.88671875" style="2892" customWidth="1"/>
    <col min="14082" max="14082" width="13.21875" style="2892" customWidth="1"/>
    <col min="14083" max="14083" width="15.6640625" style="2892" customWidth="1"/>
    <col min="14084" max="14084" width="9.33203125" style="2892" bestFit="1" customWidth="1"/>
    <col min="14085" max="14085" width="13.44140625" style="2892" customWidth="1"/>
    <col min="14086" max="14086" width="9" style="2892"/>
    <col min="14087" max="14087" width="9.33203125" style="2892" bestFit="1" customWidth="1"/>
    <col min="14088" max="14089" width="9" style="2892"/>
    <col min="14090" max="14090" width="9.33203125" style="2892" bestFit="1" customWidth="1"/>
    <col min="14091" max="14091" width="4" style="2892" customWidth="1"/>
    <col min="14092" max="14092" width="5.109375" style="2892" customWidth="1"/>
    <col min="14093" max="14093" width="13.77734375" style="2892" customWidth="1"/>
    <col min="14094" max="14336" width="9" style="2892"/>
    <col min="14337" max="14337" width="4.88671875" style="2892" customWidth="1"/>
    <col min="14338" max="14338" width="13.21875" style="2892" customWidth="1"/>
    <col min="14339" max="14339" width="15.6640625" style="2892" customWidth="1"/>
    <col min="14340" max="14340" width="9.33203125" style="2892" bestFit="1" customWidth="1"/>
    <col min="14341" max="14341" width="13.44140625" style="2892" customWidth="1"/>
    <col min="14342" max="14342" width="9" style="2892"/>
    <col min="14343" max="14343" width="9.33203125" style="2892" bestFit="1" customWidth="1"/>
    <col min="14344" max="14345" width="9" style="2892"/>
    <col min="14346" max="14346" width="9.33203125" style="2892" bestFit="1" customWidth="1"/>
    <col min="14347" max="14347" width="4" style="2892" customWidth="1"/>
    <col min="14348" max="14348" width="5.109375" style="2892" customWidth="1"/>
    <col min="14349" max="14349" width="13.77734375" style="2892" customWidth="1"/>
    <col min="14350" max="14592" width="9" style="2892"/>
    <col min="14593" max="14593" width="4.88671875" style="2892" customWidth="1"/>
    <col min="14594" max="14594" width="13.21875" style="2892" customWidth="1"/>
    <col min="14595" max="14595" width="15.6640625" style="2892" customWidth="1"/>
    <col min="14596" max="14596" width="9.33203125" style="2892" bestFit="1" customWidth="1"/>
    <col min="14597" max="14597" width="13.44140625" style="2892" customWidth="1"/>
    <col min="14598" max="14598" width="9" style="2892"/>
    <col min="14599" max="14599" width="9.33203125" style="2892" bestFit="1" customWidth="1"/>
    <col min="14600" max="14601" width="9" style="2892"/>
    <col min="14602" max="14602" width="9.33203125" style="2892" bestFit="1" customWidth="1"/>
    <col min="14603" max="14603" width="4" style="2892" customWidth="1"/>
    <col min="14604" max="14604" width="5.109375" style="2892" customWidth="1"/>
    <col min="14605" max="14605" width="13.77734375" style="2892" customWidth="1"/>
    <col min="14606" max="14848" width="9" style="2892"/>
    <col min="14849" max="14849" width="4.88671875" style="2892" customWidth="1"/>
    <col min="14850" max="14850" width="13.21875" style="2892" customWidth="1"/>
    <col min="14851" max="14851" width="15.6640625" style="2892" customWidth="1"/>
    <col min="14852" max="14852" width="9.33203125" style="2892" bestFit="1" customWidth="1"/>
    <col min="14853" max="14853" width="13.44140625" style="2892" customWidth="1"/>
    <col min="14854" max="14854" width="9" style="2892"/>
    <col min="14855" max="14855" width="9.33203125" style="2892" bestFit="1" customWidth="1"/>
    <col min="14856" max="14857" width="9" style="2892"/>
    <col min="14858" max="14858" width="9.33203125" style="2892" bestFit="1" customWidth="1"/>
    <col min="14859" max="14859" width="4" style="2892" customWidth="1"/>
    <col min="14860" max="14860" width="5.109375" style="2892" customWidth="1"/>
    <col min="14861" max="14861" width="13.77734375" style="2892" customWidth="1"/>
    <col min="14862" max="15104" width="9" style="2892"/>
    <col min="15105" max="15105" width="4.88671875" style="2892" customWidth="1"/>
    <col min="15106" max="15106" width="13.21875" style="2892" customWidth="1"/>
    <col min="15107" max="15107" width="15.6640625" style="2892" customWidth="1"/>
    <col min="15108" max="15108" width="9.33203125" style="2892" bestFit="1" customWidth="1"/>
    <col min="15109" max="15109" width="13.44140625" style="2892" customWidth="1"/>
    <col min="15110" max="15110" width="9" style="2892"/>
    <col min="15111" max="15111" width="9.33203125" style="2892" bestFit="1" customWidth="1"/>
    <col min="15112" max="15113" width="9" style="2892"/>
    <col min="15114" max="15114" width="9.33203125" style="2892" bestFit="1" customWidth="1"/>
    <col min="15115" max="15115" width="4" style="2892" customWidth="1"/>
    <col min="15116" max="15116" width="5.109375" style="2892" customWidth="1"/>
    <col min="15117" max="15117" width="13.77734375" style="2892" customWidth="1"/>
    <col min="15118" max="15360" width="9" style="2892"/>
    <col min="15361" max="15361" width="4.88671875" style="2892" customWidth="1"/>
    <col min="15362" max="15362" width="13.21875" style="2892" customWidth="1"/>
    <col min="15363" max="15363" width="15.6640625" style="2892" customWidth="1"/>
    <col min="15364" max="15364" width="9.33203125" style="2892" bestFit="1" customWidth="1"/>
    <col min="15365" max="15365" width="13.44140625" style="2892" customWidth="1"/>
    <col min="15366" max="15366" width="9" style="2892"/>
    <col min="15367" max="15367" width="9.33203125" style="2892" bestFit="1" customWidth="1"/>
    <col min="15368" max="15369" width="9" style="2892"/>
    <col min="15370" max="15370" width="9.33203125" style="2892" bestFit="1" customWidth="1"/>
    <col min="15371" max="15371" width="4" style="2892" customWidth="1"/>
    <col min="15372" max="15372" width="5.109375" style="2892" customWidth="1"/>
    <col min="15373" max="15373" width="13.77734375" style="2892" customWidth="1"/>
    <col min="15374" max="15616" width="9" style="2892"/>
    <col min="15617" max="15617" width="4.88671875" style="2892" customWidth="1"/>
    <col min="15618" max="15618" width="13.21875" style="2892" customWidth="1"/>
    <col min="15619" max="15619" width="15.6640625" style="2892" customWidth="1"/>
    <col min="15620" max="15620" width="9.33203125" style="2892" bestFit="1" customWidth="1"/>
    <col min="15621" max="15621" width="13.44140625" style="2892" customWidth="1"/>
    <col min="15622" max="15622" width="9" style="2892"/>
    <col min="15623" max="15623" width="9.33203125" style="2892" bestFit="1" customWidth="1"/>
    <col min="15624" max="15625" width="9" style="2892"/>
    <col min="15626" max="15626" width="9.33203125" style="2892" bestFit="1" customWidth="1"/>
    <col min="15627" max="15627" width="4" style="2892" customWidth="1"/>
    <col min="15628" max="15628" width="5.109375" style="2892" customWidth="1"/>
    <col min="15629" max="15629" width="13.77734375" style="2892" customWidth="1"/>
    <col min="15630" max="15872" width="9" style="2892"/>
    <col min="15873" max="15873" width="4.88671875" style="2892" customWidth="1"/>
    <col min="15874" max="15874" width="13.21875" style="2892" customWidth="1"/>
    <col min="15875" max="15875" width="15.6640625" style="2892" customWidth="1"/>
    <col min="15876" max="15876" width="9.33203125" style="2892" bestFit="1" customWidth="1"/>
    <col min="15877" max="15877" width="13.44140625" style="2892" customWidth="1"/>
    <col min="15878" max="15878" width="9" style="2892"/>
    <col min="15879" max="15879" width="9.33203125" style="2892" bestFit="1" customWidth="1"/>
    <col min="15880" max="15881" width="9" style="2892"/>
    <col min="15882" max="15882" width="9.33203125" style="2892" bestFit="1" customWidth="1"/>
    <col min="15883" max="15883" width="4" style="2892" customWidth="1"/>
    <col min="15884" max="15884" width="5.109375" style="2892" customWidth="1"/>
    <col min="15885" max="15885" width="13.77734375" style="2892" customWidth="1"/>
    <col min="15886" max="16128" width="9" style="2892"/>
    <col min="16129" max="16129" width="4.88671875" style="2892" customWidth="1"/>
    <col min="16130" max="16130" width="13.21875" style="2892" customWidth="1"/>
    <col min="16131" max="16131" width="15.6640625" style="2892" customWidth="1"/>
    <col min="16132" max="16132" width="9.33203125" style="2892" bestFit="1" customWidth="1"/>
    <col min="16133" max="16133" width="13.44140625" style="2892" customWidth="1"/>
    <col min="16134" max="16134" width="9" style="2892"/>
    <col min="16135" max="16135" width="9.33203125" style="2892" bestFit="1" customWidth="1"/>
    <col min="16136" max="16137" width="9" style="2892"/>
    <col min="16138" max="16138" width="9.33203125" style="2892" bestFit="1" customWidth="1"/>
    <col min="16139" max="16139" width="4" style="2892" customWidth="1"/>
    <col min="16140" max="16140" width="5.109375" style="2892" customWidth="1"/>
    <col min="16141" max="16141" width="13.77734375" style="2892" customWidth="1"/>
    <col min="16142" max="16384" width="9" style="2892"/>
  </cols>
  <sheetData>
    <row r="1" spans="1:257" s="2952" customFormat="1" ht="15" thickBot="1">
      <c r="A1" s="2951"/>
      <c r="B1" s="2953" t="s">
        <v>2784</v>
      </c>
      <c r="C1" s="2957">
        <f>项目基本情况!D3</f>
        <v>43889</v>
      </c>
      <c r="H1" s="2891">
        <f>IF(C1&gt;C13,0,MATCH(C1,C$13:C$100,-1))+IF(SUMIF(C13:C100,C1,D13:D100)=0,13,12)</f>
        <v>13</v>
      </c>
      <c r="I1" s="2891">
        <f>MATCH(C2,H3:H7,1)+IF(SUMIF(H3:H7,C2,I3:I7)=0,2,1)</f>
        <v>5</v>
      </c>
      <c r="J1" s="2950">
        <f ca="1">MATCH(C3,H3:H7,1)+IF(SUMIF(H3:H7,C3,J3:J7)=0,2,1)</f>
        <v>2</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6" thickTop="1" thickBot="1">
      <c r="A2" s="2893"/>
      <c r="B2" s="2954" t="s">
        <v>2815</v>
      </c>
      <c r="C2" s="2958">
        <f>'数据-取费表'!B22</f>
        <v>2</v>
      </c>
      <c r="D2" s="2953" t="s">
        <v>2785</v>
      </c>
      <c r="E2" s="2956">
        <f ca="1">INDIRECT("I"&amp;$I$1)/100</f>
        <v>4.7500000000000001E-2</v>
      </c>
      <c r="G2" s="2893"/>
      <c r="H2" s="2893"/>
      <c r="I2" s="2893" t="s">
        <v>2786</v>
      </c>
      <c r="K2" s="2893"/>
      <c r="L2" s="2893"/>
      <c r="M2" s="2893"/>
      <c r="N2" s="2893" t="s">
        <v>2787</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2817</v>
      </c>
      <c r="C3" s="2955">
        <f>'数据-取费表'!B19</f>
        <v>0</v>
      </c>
      <c r="D3" s="2953" t="s">
        <v>2785</v>
      </c>
      <c r="E3" s="2956">
        <f ca="1">INDIRECT("J"&amp;$J$1)/100</f>
        <v>0</v>
      </c>
      <c r="G3" s="2895" t="s">
        <v>2788</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2816</v>
      </c>
      <c r="C4" s="2956">
        <f ca="1">N4/100</f>
        <v>1.4999999999999999E-2</v>
      </c>
      <c r="G4" s="2901" t="s">
        <v>2789</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2790</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2791</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5" thickBot="1">
      <c r="A7" s="2894"/>
      <c r="G7" s="2906" t="s">
        <v>2792</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399999999999999">
      <c r="A9" s="2914"/>
      <c r="B9" s="2915" t="s">
        <v>2793</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2">
      <c r="A10" s="2920"/>
      <c r="B10" s="2921" t="s">
        <v>2794</v>
      </c>
      <c r="C10" s="2920"/>
      <c r="D10" s="2920"/>
      <c r="E10" s="2920"/>
      <c r="F10" s="2920"/>
      <c r="G10" s="2920"/>
      <c r="H10" s="2920"/>
      <c r="I10" s="2894"/>
      <c r="J10" s="2894"/>
      <c r="K10" s="2920"/>
      <c r="L10" s="2921" t="s">
        <v>2795</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2796</v>
      </c>
      <c r="C11" s="2925" t="s">
        <v>2797</v>
      </c>
      <c r="D11" s="2926" t="s">
        <v>2798</v>
      </c>
      <c r="E11" s="2927"/>
      <c r="F11" s="2926" t="s">
        <v>2799</v>
      </c>
      <c r="G11" s="2928"/>
      <c r="H11" s="2927"/>
      <c r="I11" s="2926" t="s">
        <v>2800</v>
      </c>
      <c r="J11" s="2927"/>
      <c r="K11" s="2923"/>
      <c r="L11" s="2924" t="s">
        <v>2796</v>
      </c>
      <c r="M11" s="2925" t="s">
        <v>2797</v>
      </c>
      <c r="N11" s="2924" t="s">
        <v>2801</v>
      </c>
      <c r="O11" s="2926" t="s">
        <v>2802</v>
      </c>
      <c r="P11" s="2928"/>
      <c r="Q11" s="2928"/>
      <c r="R11" s="2928"/>
      <c r="S11" s="2928"/>
      <c r="T11" s="2927"/>
      <c r="U11" s="2926" t="s">
        <v>2803</v>
      </c>
      <c r="V11" s="2928"/>
      <c r="W11" s="2927"/>
      <c r="X11" s="2924" t="s">
        <v>2804</v>
      </c>
      <c r="Y11" s="2924" t="s">
        <v>2805</v>
      </c>
      <c r="Z11" s="2924" t="s">
        <v>2806</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2807</v>
      </c>
      <c r="E12" s="2933" t="s">
        <v>2808</v>
      </c>
      <c r="F12" s="2933" t="s">
        <v>2809</v>
      </c>
      <c r="G12" s="2933" t="s">
        <v>2810</v>
      </c>
      <c r="H12" s="2933" t="s">
        <v>2792</v>
      </c>
      <c r="I12" s="2934" t="s">
        <v>2811</v>
      </c>
      <c r="J12" s="2934" t="s">
        <v>2811</v>
      </c>
      <c r="K12" s="2930"/>
      <c r="L12" s="2931"/>
      <c r="M12" s="2932"/>
      <c r="N12" s="2931"/>
      <c r="O12" s="2934" t="s">
        <v>2812</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31.2">
      <c r="A13" s="2936"/>
      <c r="B13" s="2937" t="s">
        <v>2813</v>
      </c>
      <c r="C13" s="2938">
        <v>42301</v>
      </c>
      <c r="D13" s="2939">
        <v>4.3499999999999996</v>
      </c>
      <c r="E13" s="2939">
        <v>4.3499999999999996</v>
      </c>
      <c r="F13" s="2939">
        <v>4.75</v>
      </c>
      <c r="G13" s="2939">
        <v>4.75</v>
      </c>
      <c r="H13" s="2939">
        <v>4.9000000000000004</v>
      </c>
      <c r="I13" s="2939">
        <v>2.75</v>
      </c>
      <c r="J13" s="2939">
        <v>3.25</v>
      </c>
      <c r="K13" s="2936"/>
      <c r="L13" s="2937" t="s">
        <v>2813</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6.8">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2814</v>
      </c>
      <c r="Y42" s="2943" t="s">
        <v>2814</v>
      </c>
      <c r="Z42" s="2943" t="s">
        <v>2814</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2814</v>
      </c>
      <c r="Y43" s="2943" t="s">
        <v>2814</v>
      </c>
      <c r="Z43" s="2943" t="s">
        <v>2814</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2814</v>
      </c>
      <c r="Y44" s="2943" t="s">
        <v>2814</v>
      </c>
      <c r="Z44" s="2943" t="s">
        <v>2814</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2814</v>
      </c>
      <c r="Y45" s="2943" t="s">
        <v>2814</v>
      </c>
      <c r="Z45" s="2943" t="s">
        <v>2814</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2814</v>
      </c>
      <c r="Y46" s="2943" t="s">
        <v>2814</v>
      </c>
      <c r="Z46" s="2943" t="s">
        <v>2814</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2814</v>
      </c>
      <c r="Y47" s="2943" t="s">
        <v>2814</v>
      </c>
      <c r="Z47" s="2943" t="s">
        <v>2814</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2814</v>
      </c>
      <c r="Y48" s="2943" t="s">
        <v>2814</v>
      </c>
      <c r="Z48" s="2943" t="s">
        <v>2814</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2814</v>
      </c>
      <c r="Y49" s="2943" t="s">
        <v>2814</v>
      </c>
      <c r="Z49" s="2943" t="s">
        <v>2814</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2814</v>
      </c>
      <c r="Y50" s="2943" t="s">
        <v>2814</v>
      </c>
      <c r="Z50" s="2943" t="s">
        <v>2814</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2814</v>
      </c>
      <c r="V51" s="2943" t="s">
        <v>2814</v>
      </c>
      <c r="W51" s="2943" t="s">
        <v>2814</v>
      </c>
      <c r="X51" s="2943" t="s">
        <v>2814</v>
      </c>
      <c r="Y51" s="2943" t="s">
        <v>2814</v>
      </c>
      <c r="Z51" s="2943" t="s">
        <v>2814</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2814</v>
      </c>
      <c r="J55" s="2943" t="s">
        <v>2814</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145</vt:i4>
      </vt:variant>
    </vt:vector>
  </HeadingPairs>
  <TitlesOfParts>
    <vt:vector size="19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比较法-住宅、综合</vt:lpstr>
      <vt:lpstr>剩余法-现房</vt:lpstr>
      <vt:lpstr>比较法-工业</vt:lpstr>
      <vt:lpstr>基准地价</vt:lpstr>
      <vt:lpstr>修正</vt:lpstr>
      <vt:lpstr>区片价</vt:lpstr>
      <vt:lpstr>容积率修正</vt:lpstr>
      <vt:lpstr>因素修正幅度</vt:lpstr>
      <vt:lpstr>地价</vt:lpstr>
      <vt:lpstr>基准地价（汇总）</vt:lpstr>
      <vt:lpstr>土地案例</vt:lpstr>
      <vt:lpstr>收益还原法</vt:lpstr>
      <vt:lpstr>剩余法-待开发</vt:lpstr>
      <vt:lpstr>不动产比较法-住宅</vt:lpstr>
      <vt:lpstr>不动产比较法-商业</vt:lpstr>
      <vt:lpstr>不动产比较法-住宅 (2)</vt:lpstr>
      <vt:lpstr>不动产收益法</vt:lpstr>
      <vt:lpstr>酒店收入计算</vt:lpstr>
      <vt:lpstr>成本逼近法</vt:lpstr>
      <vt:lpstr>不动产比较法-办公</vt:lpstr>
      <vt:lpstr>不动产收益法 (车库)</vt:lpstr>
      <vt:lpstr>住宅案例</vt:lpstr>
      <vt:lpstr>商业案例</vt:lpstr>
      <vt:lpstr>不动产比较法-工业</vt:lpstr>
      <vt:lpstr>不动产比较法-车位</vt:lpstr>
      <vt:lpstr>不动产比较法-仓储</vt:lpstr>
      <vt:lpstr>典型户型修正</vt:lpstr>
      <vt:lpstr>存贷款利率</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 (2)'!住宅朝向</vt:lpstr>
      <vt:lpstr>住宅朝向</vt:lpstr>
      <vt:lpstr>'不动产比较法-住宅 (2)'!住宅房型</vt:lpstr>
      <vt:lpstr>住宅房型</vt:lpstr>
      <vt:lpstr>'不动产比较法-住宅 (2)'!住宅公共部分装修</vt:lpstr>
      <vt:lpstr>住宅公共部分装修</vt:lpstr>
      <vt:lpstr>'不动产比较法-住宅 (2)'!住宅基础设施水平</vt:lpstr>
      <vt:lpstr>住宅基础设施水平</vt:lpstr>
      <vt:lpstr>'不动产比较法-住宅 (2)'!住宅建筑结构</vt:lpstr>
      <vt:lpstr>住宅建筑结构</vt:lpstr>
      <vt:lpstr>'不动产比较法-住宅 (2)'!住宅建筑类型</vt:lpstr>
      <vt:lpstr>住宅建筑类型</vt:lpstr>
      <vt:lpstr>'不动产比较法-住宅 (2)'!住宅建筑品质</vt:lpstr>
      <vt:lpstr>住宅建筑品质</vt:lpstr>
      <vt:lpstr>'不动产比较法-住宅 (2)'!住宅交易情况</vt:lpstr>
      <vt:lpstr>住宅交易情况</vt:lpstr>
      <vt:lpstr>'不动产比较法-住宅 (2)'!住宅楼层</vt:lpstr>
      <vt:lpstr>住宅楼层</vt:lpstr>
      <vt:lpstr>'不动产比较法-住宅 (2)'!住宅内部装修</vt:lpstr>
      <vt:lpstr>住宅内部装修</vt:lpstr>
      <vt:lpstr>'不动产比较法-住宅 (2)'!住宅物业管理</vt:lpstr>
      <vt:lpstr>住宅物业管理</vt:lpstr>
      <vt:lpstr>'不动产比较法-住宅 (2)'!住宅用途</vt:lpstr>
      <vt:lpstr>住宅用途</vt:lpstr>
      <vt:lpstr>'不动产比较法-住宅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cp:lastModifiedBy>
  <cp:lastPrinted>2017-03-09T08:11:21Z</cp:lastPrinted>
  <dcterms:created xsi:type="dcterms:W3CDTF">2015-07-13T07:17:23Z</dcterms:created>
  <dcterms:modified xsi:type="dcterms:W3CDTF">2020-03-25T14:16:56Z</dcterms:modified>
</cp:coreProperties>
</file>