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G22" i="59" l="1"/>
  <c r="G20" i="59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C11" i="67" l="1"/>
  <c r="C10" i="67" s="1"/>
  <c r="B12" i="67"/>
  <c r="S12" i="67" s="1"/>
  <c r="F12" i="67"/>
  <c r="V12" i="67" s="1"/>
  <c r="E12" i="67"/>
  <c r="U12" i="67" s="1"/>
  <c r="C12" i="67"/>
  <c r="T12" i="67" s="1"/>
  <c r="D10" i="67" l="1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5" i="65"/>
  <c r="G6" i="65"/>
  <c r="D7" i="65"/>
  <c r="H7" i="65"/>
  <c r="H8" i="65"/>
  <c r="E6" i="65"/>
  <c r="G4" i="65"/>
  <c r="G8" i="65"/>
  <c r="E8" i="65"/>
  <c r="D4" i="65"/>
  <c r="E4" i="65"/>
  <c r="E5" i="65"/>
  <c r="D8" i="65"/>
  <c r="H6" i="65"/>
  <c r="G7" i="65"/>
  <c r="D6" i="65"/>
  <c r="H5" i="65"/>
  <c r="E7" i="65"/>
  <c r="D5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1" i="65"/>
  <c r="G3" i="65"/>
  <c r="E20" i="43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M1" i="60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F59" i="43" s="1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W32" i="39" l="1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G35" i="43" s="1"/>
  <c r="C33" i="43"/>
  <c r="C36" i="43"/>
  <c r="G36" i="43" s="1"/>
  <c r="C34" i="43"/>
  <c r="G34" i="43" s="1"/>
  <c r="C37" i="43"/>
  <c r="C39" i="43"/>
  <c r="C38" i="43"/>
  <c r="I34" i="43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9" i="43" l="1"/>
  <c r="G39" i="43"/>
  <c r="I39" i="43" s="1"/>
  <c r="E38" i="43"/>
  <c r="G38" i="43"/>
  <c r="I38" i="43" s="1"/>
  <c r="E37" i="43"/>
  <c r="G37" i="43"/>
  <c r="I37" i="43" s="1"/>
  <c r="C30" i="43"/>
  <c r="E34" i="43"/>
  <c r="I35" i="43"/>
  <c r="G33" i="43"/>
  <c r="I33" i="43" s="1"/>
  <c r="E29" i="43"/>
  <c r="I36" i="43"/>
  <c r="C48" i="39"/>
  <c r="B3" i="39" s="1"/>
  <c r="C26" i="43" l="1"/>
  <c r="B2" i="43" s="1"/>
  <c r="E30" i="43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B82" i="63"/>
  <c r="C11" i="63" l="1"/>
  <c r="C19" i="63" s="1"/>
  <c r="E19" i="63" s="1"/>
  <c r="D12" i="63"/>
  <c r="C18" i="63" l="1"/>
  <c r="B3" i="63" s="1"/>
  <c r="F6" i="59" s="1"/>
  <c r="C22" i="63" l="1"/>
  <c r="B5" i="63" s="1"/>
  <c r="F7" i="59" s="1"/>
  <c r="F5" i="59" s="1"/>
  <c r="E18" i="63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<sst xmlns="http://schemas.openxmlformats.org/spreadsheetml/2006/main" count="3940" uniqueCount="1779">
  <si>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</si>
  <si>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</si>
  <si>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</si>
  <si>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</si>
  <si>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</si>
  <si>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</si>
  <si>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</si>
  <si>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</si>
  <si>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</si>
  <si>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</si>
  <si>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</si>
  <si>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</si>
  <si>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</si>
  <si>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</si>
  <si>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</si>
  <si>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</si>
  <si>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</si>
  <si>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</si>
  <si>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</si>
  <si>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</si>
  <si>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</si>
  <si>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</si>
  <si>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</si>
  <si>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</si>
  <si>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</si>
  <si>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</si>
  <si>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</si>
  <si>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</si>
  <si>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</si>
  <si>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</si>
  <si>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</si>
  <si>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</si>
  <si>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</si>
  <si>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</si>
  <si>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</si>
  <si>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</si>
  <si>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</si>
  <si>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</si>
  <si>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</si>
  <si>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</si>
  <si>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</si>
  <si>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</si>
  <si>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</si>
  <si>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</si>
  <si>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</si>
  <si>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</si>
  <si>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</si>
  <si>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</si>
  <si>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</si>
  <si>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</si>
  <si>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</si>
  <si>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</si>
  <si>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</si>
  <si>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</si>
  <si>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</si>
  <si>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</si>
  <si>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</si>
  <si>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</si>
  <si>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</si>
  <si>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</si>
  <si>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</si>
  <si>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</si>
  <si>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</si>
  <si>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</si>
  <si>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</si>
  <si>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</si>
  <si>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</si>
  <si>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</si>
  <si>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</si>
  <si>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</si>
  <si>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</si>
  <si>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</si>
  <si>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</si>
  <si>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</si>
  <si>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</si>
  <si>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</si>
  <si>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</si>
  <si>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</si>
  <si>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</si>
  <si>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</si>
  <si>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</si>
  <si>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</si>
  <si>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</si>
  <si>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</si>
  <si>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</si>
  <si>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</si>
  <si>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</si>
  <si>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</si>
  <si>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</si>
  <si>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</si>
  <si>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</si>
  <si>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</si>
  <si>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</si>
  <si>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</si>
  <si>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</si>
  <si>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</si>
  <si>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</si>
  <si>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</si>
  <si>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</si>
  <si>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</si>
  <si>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</si>
  <si>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</si>
  <si>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</si>
  <si>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</si>
  <si>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</si>
  <si>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</si>
  <si>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</si>
  <si>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</si>
  <si>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</si>
  <si>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</si>
  <si>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</si>
  <si>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</si>
  <si>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</si>
  <si>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</si>
  <si>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</si>
  <si>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</si>
  <si>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</si>
  <si>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</si>
  <si>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</si>
  <si>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</si>
  <si>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</si>
  <si>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</si>
  <si>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</si>
  <si>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</si>
  <si>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</si>
  <si>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</si>
  <si>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</si>
  <si>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</si>
  <si>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</si>
  <si>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</si>
  <si>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</si>
  <si>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</si>
  <si>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</si>
  <si>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</si>
  <si>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</si>
  <si>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</si>
  <si>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</si>
  <si>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</si>
  <si>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</si>
  <si>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</si>
  <si>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</si>
  <si>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</si>
  <si>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</si>
  <si>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</si>
  <si>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</si>
  <si>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</si>
  <si>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</si>
  <si>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</si>
  <si>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</si>
  <si>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</si>
  <si>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</si>
  <si>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</si>
  <si>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</si>
  <si>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</si>
  <si>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</si>
  <si>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</si>
  <si>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</si>
  <si>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</si>
  <si>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</si>
  <si>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</si>
  <si>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</si>
  <si>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</si>
  <si>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</si>
  <si>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</si>
  <si>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</si>
  <si>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</si>
  <si>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</si>
  <si>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</si>
  <si>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</si>
  <si>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</si>
  <si>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</si>
  <si>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</si>
  <si>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</si>
  <si>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</si>
  <si>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</si>
  <si>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</si>
  <si>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</si>
  <si>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</si>
  <si>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</si>
  <si>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</si>
  <si>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</si>
  <si>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</si>
  <si>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</si>
  <si>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</si>
  <si>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</si>
  <si>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</si>
  <si>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</si>
  <si>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</si>
  <si>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</si>
  <si>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</si>
  <si>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</si>
  <si>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</si>
  <si>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</si>
  <si>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</si>
  <si>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</si>
  <si>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</si>
  <si>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</si>
  <si>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</si>
  <si>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</si>
  <si>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</si>
  <si>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</si>
  <si>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</si>
  <si>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</si>
  <si>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</si>
  <si>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</si>
  <si>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</si>
  <si>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</si>
  <si>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</si>
  <si>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</si>
  <si>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</si>
  <si>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</si>
  <si>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</si>
  <si>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</si>
  <si>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</si>
  <si>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</si>
  <si>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</si>
  <si>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</si>
  <si>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</si>
  <si>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</si>
  <si>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</si>
  <si>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</si>
  <si>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</si>
  <si>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</si>
  <si>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</si>
  <si>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</si>
  <si>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</si>
  <si>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</si>
  <si>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</si>
  <si>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</si>
  <si>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</si>
  <si>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</si>
  <si>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</si>
  <si>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</si>
  <si>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</si>
  <si>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</si>
  <si>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</si>
  <si>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</si>
  <si>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</si>
  <si>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</si>
  <si>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</si>
  <si>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</si>
  <si>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</si>
  <si>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</si>
  <si>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</si>
  <si>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</si>
  <si>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</si>
  <si>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</si>
  <si>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</si>
  <si>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</si>
  <si>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</si>
  <si>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</si>
  <si>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</si>
  <si>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</si>
  <si>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</si>
  <si>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</si>
  <si>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</si>
  <si>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</si>
  <si>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</si>
  <si>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</si>
  <si>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</si>
  <si>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</si>
  <si>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</si>
  <si>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</si>
  <si>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</si>
  <si>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</si>
  <si>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</si>
  <si>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</si>
  <si>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</si>
  <si>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</si>
  <si>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</si>
  <si>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</si>
  <si>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</si>
  <si>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</si>
  <si>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</si>
  <si>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</si>
  <si>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</si>
  <si>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</si>
  <si>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</si>
  <si>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</si>
  <si>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</si>
  <si>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</si>
  <si>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</si>
  <si>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</si>
  <si>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</si>
  <si>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</si>
  <si>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</si>
  <si>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</si>
  <si>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</si>
  <si>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</si>
  <si>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</si>
  <si>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</si>
  <si>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</si>
  <si>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</si>
  <si>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</si>
  <si>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</si>
  <si>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</si>
  <si>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</si>
  <si>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</si>
  <si>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</si>
  <si>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</si>
  <si>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</si>
  <si>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</si>
  <si>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</si>
  <si>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</si>
  <si>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</si>
  <si>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</si>
  <si>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</si>
  <si>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</si>
  <si>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</si>
  <si>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</si>
  <si>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</si>
  <si>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</si>
  <si>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</si>
  <si>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</si>
  <si>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</si>
  <si>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</si>
  <si>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</si>
  <si>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</si>
  <si>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</si>
  <si>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</si>
  <si>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</si>
  <si>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</si>
  <si>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</si>
  <si>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</si>
  <si>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</si>
  <si>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</si>
  <si>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</si>
  <si>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</si>
  <si>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</si>
  <si>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</si>
  <si>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</si>
  <si>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</si>
  <si>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</si>
  <si>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</si>
  <si>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</si>
  <si>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</si>
  <si>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</si>
  <si>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</si>
  <si>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</si>
  <si>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</si>
  <si>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</si>
  <si>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</si>
  <si>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</si>
  <si>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</si>
  <si>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</si>
  <si>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</si>
  <si>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</si>
  <si>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</si>
  <si>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</si>
  <si>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</si>
  <si>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</si>
  <si>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</si>
  <si>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</si>
  <si>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</si>
  <si>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</si>
  <si>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</si>
  <si>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</si>
  <si>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</si>
  <si>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</si>
  <si>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</si>
  <si>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</si>
  <si>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</si>
  <si>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</si>
  <si>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</si>
  <si>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</si>
  <si>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</si>
  <si>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</si>
  <si>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</si>
  <si>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</si>
  <si>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</si>
  <si>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</si>
  <si>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</si>
  <si>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</si>
  <si>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</si>
  <si>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</si>
  <si>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</si>
  <si>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</si>
  <si>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</si>
  <si>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</si>
  <si>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</si>
  <si>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</si>
  <si>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</si>
  <si>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</si>
  <si>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</si>
  <si>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</si>
  <si>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</si>
  <si>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</si>
  <si>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</si>
  <si>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</si>
  <si>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</si>
  <si>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</si>
  <si>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</si>
  <si>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</si>
  <si>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</si>
  <si>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</si>
  <si>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</si>
  <si>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</si>
  <si>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</si>
  <si>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</si>
  <si>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</si>
  <si>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</si>
  <si>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</si>
  <si>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</si>
  <si>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</si>
  <si>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</si>
  <si>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</si>
  <si>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</si>
  <si>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</si>
  <si>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</si>
  <si>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</si>
  <si>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</si>
  <si>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</si>
  <si>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</si>
  <si>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</si>
  <si>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</si>
  <si>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</si>
  <si>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</si>
  <si>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</si>
  <si>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</si>
  <si>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</si>
  <si>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</si>
  <si>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</si>
  <si>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</si>
  <si>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</si>
  <si>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</si>
  <si>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</si>
  <si>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</si>
  <si>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</si>
  <si>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</si>
  <si>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</si>
  <si>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</si>
  <si>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</si>
  <si>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</si>
  <si>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</si>
  <si>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</si>
  <si>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</si>
  <si>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</si>
  <si>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</si>
  <si>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</si>
  <si>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</si>
  <si>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</si>
  <si>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</si>
  <si>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</si>
  <si>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</si>
  <si>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</si>
  <si>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</si>
  <si>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</si>
  <si>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</si>
  <si>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</si>
  <si>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</si>
  <si>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</si>
  <si>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</si>
  <si>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</si>
  <si>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</si>
  <si>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</si>
  <si>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</si>
  <si>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</si>
  <si>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</si>
  <si>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</si>
  <si>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</si>
  <si>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</si>
  <si>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</si>
  <si>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</si>
  <si>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</si>
  <si>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</si>
  <si>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</si>
  <si>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</si>
  <si>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</si>
  <si>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</si>
  <si>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</si>
  <si>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</si>
  <si>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</si>
  <si>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</si>
  <si>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</si>
  <si>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</si>
  <si>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</si>
  <si>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</si>
  <si>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</si>
  <si>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</si>
  <si>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</si>
  <si>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</si>
  <si>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</si>
  <si>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</si>
  <si>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</si>
  <si>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</si>
  <si>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</si>
  <si>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</si>
  <si>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</si>
  <si>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</si>
  <si>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</si>
  <si>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</si>
  <si>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</si>
  <si>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</si>
  <si>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</si>
  <si>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</si>
  <si>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</si>
  <si>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</si>
  <si>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</si>
  <si>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</si>
  <si>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</si>
  <si>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</si>
  <si>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</si>
  <si>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</si>
  <si>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</si>
  <si>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</si>
  <si>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</si>
  <si>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</si>
  <si>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</si>
  <si>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</si>
  <si>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</si>
  <si>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</si>
  <si>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</si>
  <si>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</si>
  <si>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</si>
  <si>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</si>
  <si>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</si>
  <si>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</si>
  <si>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</si>
  <si>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</si>
  <si>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</si>
  <si>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</si>
  <si>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</si>
  <si>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</si>
  <si>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</si>
  <si>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</si>
  <si>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</si>
  <si>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</si>
  <si>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</si>
  <si>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</si>
  <si>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</si>
  <si>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</si>
  <si>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</si>
  <si>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</si>
  <si>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</si>
  <si>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</si>
  <si>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</si>
  <si>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</si>
  <si>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</si>
  <si>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</si>
  <si>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</si>
  <si>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</si>
  <si>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</si>
  <si>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</si>
  <si>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</si>
  <si>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</si>
  <si>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</si>
  <si>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</si>
  <si>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</si>
  <si>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</si>
  <si>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</si>
  <si>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</si>
  <si>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</si>
  <si>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</si>
  <si>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</si>
  <si>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</si>
  <si>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</si>
  <si>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</si>
  <si>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</si>
  <si>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</si>
  <si>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</si>
  <si>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</si>
  <si>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</si>
  <si>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</si>
  <si>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</si>
  <si>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</si>
  <si>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</si>
  <si>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</si>
  <si>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</si>
  <si>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</si>
  <si>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</si>
  <si>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</si>
  <si>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</si>
  <si>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</si>
  <si>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</si>
  <si>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</si>
  <si>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</si>
  <si>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</si>
  <si>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</si>
  <si>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</si>
  <si>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</si>
  <si>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</si>
  <si>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</si>
  <si>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</si>
  <si>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</si>
  <si>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</si>
  <si>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</si>
  <si>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</si>
  <si>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</si>
  <si>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</si>
  <si>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</si>
  <si>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</si>
  <si>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</si>
  <si>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</si>
  <si>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</si>
  <si>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</si>
  <si>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</si>
  <si>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</si>
  <si>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</si>
  <si>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</si>
  <si>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</si>
  <si>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</si>
  <si>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</si>
  <si>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</si>
  <si>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</si>
  <si>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</si>
  <si>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</si>
  <si>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</si>
  <si>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</si>
  <si>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</si>
  <si>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</si>
  <si>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</si>
  <si>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</si>
  <si>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</si>
  <si>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</si>
  <si>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</si>
  <si>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</si>
  <si>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</si>
  <si>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</si>
  <si>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</si>
  <si>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</si>
  <si>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</si>
  <si>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</si>
  <si>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</si>
  <si>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</si>
  <si>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</si>
  <si>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</si>
  <si>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</si>
  <si>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</si>
  <si>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</si>
  <si>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</si>
  <si>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</si>
  <si>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</si>
  <si>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</si>
  <si>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</si>
  <si>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</si>
  <si>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</si>
  <si>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</si>
  <si>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</si>
  <si>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</si>
  <si>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</si>
  <si>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</si>
  <si>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</si>
  <si>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</si>
  <si>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</si>
  <si>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</si>
  <si>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</si>
  <si>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</si>
  <si>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</si>
  <si>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</si>
  <si>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</si>
  <si>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</si>
  <si>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</si>
  <si>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</si>
  <si>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</si>
  <si>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</si>
  <si>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</si>
  <si>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</si>
  <si>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</si>
  <si>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</si>
  <si>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</si>
  <si>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</si>
  <si>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</si>
  <si>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</si>
  <si>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</si>
  <si>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</si>
  <si>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</si>
  <si>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</si>
  <si>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</si>
  <si>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</si>
  <si>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</si>
  <si>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</si>
  <si>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</si>
  <si>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</si>
  <si>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</si>
  <si>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</si>
  <si>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</si>
  <si>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</si>
  <si>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</si>
  <si>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</si>
  <si>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</si>
  <si>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</si>
  <si>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</si>
  <si>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</si>
  <si>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</si>
  <si>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</si>
  <si>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</si>
  <si>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</si>
  <si>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</si>
  <si>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</si>
  <si>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</si>
  <si>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</si>
  <si>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</si>
  <si>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</si>
  <si>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</si>
  <si>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</si>
  <si>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</si>
  <si>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</si>
  <si>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</si>
  <si>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</si>
  <si>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</si>
  <si>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</si>
  <si>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</si>
  <si>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</si>
  <si>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</si>
  <si>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</si>
  <si>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</si>
  <si>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</si>
  <si>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</si>
  <si>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</si>
  <si>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</si>
  <si>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</si>
  <si>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</si>
  <si>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</si>
  <si>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</si>
  <si>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</si>
  <si>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</si>
  <si>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</si>
  <si>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</si>
  <si>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</si>
  <si>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</si>
  <si>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</si>
  <si>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</si>
  <si>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</si>
  <si>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</si>
  <si>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</si>
  <si>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</si>
  <si>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</si>
  <si>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</si>
  <si>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</si>
  <si>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</si>
  <si>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</si>
  <si>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</si>
  <si>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</si>
  <si>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</si>
  <si>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</si>
  <si>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</si>
  <si>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</si>
  <si>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</si>
  <si>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</si>
  <si>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</si>
  <si>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</si>
  <si>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</si>
  <si>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</si>
  <si>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</si>
  <si>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</si>
  <si>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</si>
  <si>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</si>
  <si>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</si>
  <si>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</si>
  <si>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</si>
  <si>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</si>
  <si>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</si>
  <si>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</si>
  <si>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</si>
  <si>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</si>
  <si>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</si>
  <si>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</si>
  <si>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</si>
  <si>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</si>
  <si>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</si>
  <si>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</si>
  <si>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</si>
  <si>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</si>
  <si>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</si>
  <si>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</si>
  <si>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</si>
  <si>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</si>
  <si>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</si>
  <si>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</si>
  <si>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</si>
  <si>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</si>
  <si>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</si>
  <si>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</si>
  <si>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</si>
  <si>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</si>
  <si>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</si>
  <si>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</si>
  <si>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</si>
  <si>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</si>
  <si>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</si>
  <si>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</si>
  <si>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</si>
  <si>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</si>
  <si>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</si>
  <si>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</si>
  <si>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</si>
  <si>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</si>
  <si>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</si>
  <si>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</si>
  <si>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</si>
  <si>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</si>
  <si>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</si>
  <si>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</si>
  <si>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</si>
  <si>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</si>
  <si>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</si>
  <si>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</si>
  <si>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</si>
  <si>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</si>
  <si>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</si>
  <si>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</si>
  <si>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</si>
  <si>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</si>
  <si>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</si>
  <si>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</si>
  <si>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</si>
  <si>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</si>
  <si>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</si>
  <si>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</si>
  <si>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</si>
  <si>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</si>
  <si>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</si>
  <si>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</si>
  <si>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</si>
  <si>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</si>
  <si>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</si>
  <si>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</si>
  <si>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</si>
  <si>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</si>
  <si>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</si>
  <si>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</si>
  <si>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</si>
  <si>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</si>
  <si>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</si>
  <si>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</si>
  <si>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</si>
  <si>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</si>
  <si>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</si>
  <si>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</si>
  <si>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</si>
  <si>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</si>
  <si>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</si>
  <si>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</si>
  <si>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</si>
  <si>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</si>
  <si>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</si>
  <si>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</si>
  <si>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</si>
  <si>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</si>
  <si>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</si>
  <si>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</si>
  <si>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</si>
  <si>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</si>
  <si>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</si>
  <si>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</si>
  <si>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</si>
  <si>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</si>
  <si>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</si>
  <si>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</si>
  <si>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</si>
  <si>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</si>
  <si>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</si>
  <si>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</si>
  <si>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</si>
  <si>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</si>
  <si>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</si>
  <si>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</si>
  <si>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</si>
  <si>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</si>
  <si>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</si>
  <si>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</si>
  <si>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</si>
  <si>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</si>
  <si>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</si>
  <si>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</si>
  <si>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</si>
  <si>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</si>
  <si>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</si>
  <si>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</si>
  <si>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</si>
  <si>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</si>
  <si>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</si>
  <si>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</si>
  <si>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</si>
  <si>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</si>
  <si>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</si>
  <si>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</si>
  <si>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</si>
  <si>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</si>
  <si>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</si>
  <si>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</si>
  <si>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</si>
  <si>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</si>
  <si>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</si>
  <si>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</si>
  <si>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</si>
  <si>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</si>
  <si>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</si>
  <si>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</si>
  <si>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</si>
  <si>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</si>
  <si>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</si>
  <si>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</si>
  <si>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</si>
  <si>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</si>
  <si>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</si>
  <si>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</si>
  <si>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</si>
  <si>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</si>
  <si>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</si>
  <si>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</si>
  <si>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</si>
  <si>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</si>
  <si>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</si>
  <si>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</si>
  <si>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</si>
  <si>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</si>
  <si>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</si>
  <si>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</si>
  <si>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</si>
  <si>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</si>
  <si>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</si>
  <si>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</si>
  <si>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</si>
  <si>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</si>
  <si>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</si>
  <si>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</si>
  <si>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</si>
  <si>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</si>
  <si>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</si>
  <si>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</si>
  <si>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</si>
  <si>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</si>
  <si>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</si>
  <si>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</si>
  <si>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</si>
  <si>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</si>
  <si>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</si>
  <si>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</si>
  <si>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</si>
  <si>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</si>
  <si>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</si>
  <si>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</si>
  <si>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</si>
  <si>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</si>
  <si>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</si>
  <si>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</si>
  <si>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</si>
  <si>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</si>
  <si>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</si>
  <si>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</si>
  <si>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</si>
  <si>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</si>
  <si>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</si>
  <si>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</si>
  <si>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</si>
  <si>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</si>
  <si>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</si>
  <si>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</si>
  <si>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</si>
  <si>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</si>
  <si>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</si>
  <si>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</si>
  <si>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</si>
  <si>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</si>
  <si>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</si>
  <si>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</si>
  <si>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</si>
  <si>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</si>
  <si>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</si>
  <si>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</si>
  <si>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</si>
  <si>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</si>
  <si>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</si>
  <si>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</si>
  <si>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</si>
  <si>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</si>
  <si>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</si>
  <si>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</si>
  <si>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</si>
  <si>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</si>
  <si>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</si>
  <si>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</si>
  <si>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</si>
  <si>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</si>
  <si>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</si>
  <si>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</si>
  <si>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</si>
  <si>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</si>
  <si>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</si>
  <si>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</si>
  <si>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</si>
  <si>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</si>
  <si>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</si>
  <si>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</si>
  <si>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</si>
  <si>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</si>
  <si>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</si>
  <si>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</si>
  <si>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</si>
  <si>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</si>
  <si>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</si>
  <si>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</si>
  <si>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</si>
  <si>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</si>
  <si>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</si>
  <si>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</si>
  <si>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</si>
  <si>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</si>
  <si>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</si>
  <si>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</si>
  <si>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</si>
  <si>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</si>
  <si>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</si>
  <si>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</si>
  <si>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</si>
  <si>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</si>
  <si>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</si>
  <si>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</si>
  <si>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</si>
  <si>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</si>
  <si>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</si>
  <si>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</si>
  <si>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</si>
  <si>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</si>
  <si>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</si>
  <si>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</si>
  <si>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</si>
  <si>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</si>
  <si>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</si>
  <si>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</si>
  <si>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</si>
  <si>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</si>
  <si>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</si>
  <si>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</si>
  <si>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</si>
  <si>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</si>
  <si>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</si>
  <si>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</si>
  <si>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</si>
  <si>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</si>
  <si>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</si>
  <si>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</si>
  <si>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</si>
  <si>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</si>
  <si>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</si>
  <si>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</si>
  <si>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</si>
  <si>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</si>
  <si>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</si>
  <si>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</si>
  <si>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</si>
  <si>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</si>
  <si>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</si>
  <si>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</si>
  <si>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</si>
  <si>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</si>
  <si>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</si>
  <si>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</si>
  <si>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</si>
  <si>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</si>
  <si>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</si>
  <si>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</si>
  <si>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</si>
  <si>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</si>
  <si>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</si>
  <si>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</si>
  <si>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</si>
  <si>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</si>
  <si>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</si>
  <si>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</si>
  <si>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</si>
  <si>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</si>
  <si>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</si>
  <si>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</si>
  <si>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</si>
  <si>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</si>
  <si>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</si>
  <si>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</si>
  <si>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</si>
  <si>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</si>
  <si>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</si>
  <si>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</si>
  <si>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</si>
  <si>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</si>
  <si>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</si>
  <si>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</si>
  <si>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</si>
  <si>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</si>
  <si>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</si>
  <si>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</si>
  <si>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</si>
  <si>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</si>
  <si>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</si>
  <si>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</si>
  <si>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</si>
  <si>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</si>
  <si>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</si>
  <si>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</si>
  <si>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</si>
  <si>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</si>
  <si>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</si>
  <si>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</si>
  <si>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</si>
  <si>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</si>
  <si>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</si>
  <si>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</si>
  <si>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</si>
  <si>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</si>
  <si>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</si>
  <si>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</si>
  <si>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</si>
  <si>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</si>
  <si>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</si>
  <si>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</si>
  <si>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</si>
  <si>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</si>
  <si>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</si>
  <si>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</si>
  <si>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</si>
  <si>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</si>
  <si>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</si>
  <si>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</si>
  <si>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</si>
  <si>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</si>
  <si>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</si>
  <si>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</si>
  <si>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</si>
  <si>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</si>
  <si>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</si>
  <si>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</si>
  <si>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</si>
  <si>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</si>
  <si>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</si>
  <si>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</si>
  <si>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</si>
  <si>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</si>
  <si>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</si>
  <si>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</si>
  <si>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</si>
  <si>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</si>
  <si>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</si>
  <si>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</si>
  <si>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</si>
  <si>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</si>
  <si>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</si>
  <si>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</si>
  <si>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</si>
  <si>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</si>
  <si>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</si>
  <si>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</si>
  <si>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</si>
  <si>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</si>
  <si>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</si>
  <si>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</si>
  <si>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</si>
  <si>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</si>
  <si>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</si>
  <si>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</si>
  <si>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</si>
  <si>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</si>
  <si>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</si>
  <si>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</si>
  <si>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</si>
  <si>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</si>
  <si>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</si>
  <si>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</si>
  <si>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</si>
  <si>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</si>
  <si>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</si>
  <si>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</si>
  <si>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</si>
  <si>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</si>
  <si>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</si>
  <si>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</si>
  <si>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</si>
  <si>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</si>
  <si>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</si>
  <si>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</si>
  <si>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</si>
  <si>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</si>
  <si>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</si>
  <si>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</si>
  <si>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</si>
  <si>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</si>
  <si>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</si>
  <si>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</si>
  <si>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</si>
  <si>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</si>
  <si>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</si>
  <si>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</si>
  <si>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</si>
  <si>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</si>
  <si>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</si>
  <si>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</si>
  <si>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</si>
  <si>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</si>
  <si>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</si>
  <si>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</si>
  <si>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</si>
  <si>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</si>
  <si>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</si>
  <si>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</si>
  <si>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</si>
  <si>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</si>
  <si>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</si>
  <si>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</si>
  <si>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</si>
  <si>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</si>
  <si>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</si>
  <si>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</si>
  <si>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</si>
  <si>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</si>
  <si>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</si>
  <si>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</si>
  <si>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</si>
  <si>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</si>
  <si>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</si>
  <si>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</si>
  <si>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</si>
  <si>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</si>
  <si>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</si>
  <si>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</si>
  <si>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</si>
  <si>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</si>
  <si>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</si>
  <si>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</si>
  <si>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</si>
  <si>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</si>
  <si>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</si>
  <si>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</si>
  <si>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</si>
  <si>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</si>
  <si>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</si>
  <si>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</si>
  <si>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</si>
  <si>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</si>
  <si>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</si>
  <si>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</si>
  <si>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</si>
  <si>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</si>
  <si>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</si>
  <si>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</si>
  <si>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</si>
  <si>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</si>
  <si>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</si>
  <si>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</si>
  <si>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</si>
  <si>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</si>
  <si>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</si>
  <si>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</si>
  <si>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</si>
  <si>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</si>
  <si>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</si>
  <si>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</si>
  <si>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</si>
  <si>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</si>
  <si>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</si>
  <si>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</si>
  <si>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</si>
  <si>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</si>
  <si>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</si>
  <si>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</si>
  <si>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</si>
  <si>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</si>
  <si>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</si>
  <si>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</si>
  <si>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</si>
  <si>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</si>
  <si>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</si>
  <si>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</si>
  <si>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</si>
  <si>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</si>
  <si>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</si>
  <si>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</si>
  <si>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</si>
  <si>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</si>
  <si>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</si>
  <si>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</si>
  <si>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</si>
  <si>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</si>
  <si>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</si>
  <si>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</si>
  <si>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</si>
  <si>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</si>
  <si>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</si>
  <si>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</si>
  <si>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</si>
  <si>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</si>
  <si>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</si>
  <si>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</si>
  <si>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</si>
  <si>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</si>
  <si>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</si>
  <si>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</si>
  <si>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</si>
  <si>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</si>
  <si>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</si>
  <si>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</si>
  <si>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</si>
  <si>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</si>
  <si>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</si>
  <si>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</si>
  <si>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</si>
  <si>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</si>
  <si>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</si>
  <si>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</si>
  <si>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</si>
  <si>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</si>
  <si>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</si>
  <si>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</si>
  <si>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</si>
  <si>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</si>
  <si>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</si>
  <si>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</si>
  <si>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</si>
  <si>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</si>
  <si>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</si>
  <si>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</si>
  <si>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</si>
  <si>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</si>
  <si>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</si>
  <si>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</si>
  <si>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</si>
  <si>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</si>
  <si>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</si>
  <si>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</si>
  <si>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</si>
  <si>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</si>
  <si>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</si>
  <si>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</si>
  <si>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</si>
  <si>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</si>
  <si>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</si>
  <si>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</si>
  <si>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</si>
  <si>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</si>
  <si>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</si>
  <si>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</si>
  <si>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</si>
  <si>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</si>
  <si>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</si>
  <si>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</si>
  <si>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</si>
  <si>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</si>
  <si>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</si>
  <si>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</si>
  <si>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</si>
  <si>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</si>
  <si>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</si>
  <si>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</si>
  <si>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</si>
  <si>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</si>
  <si>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</si>
  <si>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</si>
  <si>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</si>
  <si>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</si>
  <si>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</si>
  <si>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</si>
  <si>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</si>
  <si>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</si>
  <si>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</si>
  <si>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</si>
  <si>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</si>
  <si>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</si>
  <si>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</si>
  <si>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</si>
  <si>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</si>
  <si>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</si>
  <si>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</si>
  <si>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</si>
  <si>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</si>
  <si>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</si>
  <si>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</si>
  <si>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</si>
  <si>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</si>
  <si>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</si>
  <si>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</si>
  <si>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</si>
  <si>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</si>
  <si>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</si>
  <si>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</si>
  <si>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</si>
  <si>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</si>
  <si>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</si>
  <si>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</si>
  <si>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</si>
  <si>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</si>
  <si>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</si>
  <si>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</si>
  <si>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</si>
  <si>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</si>
  <si>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</si>
  <si>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</si>
  <si>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</si>
  <si>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</si>
  <si>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</si>
  <si>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</si>
  <si>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</si>
  <si>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</si>
  <si>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</si>
  <si>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</si>
  <si>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</si>
  <si>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</si>
  <si>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</si>
  <si>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</si>
  <si>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</si>
  <si>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</si>
  <si>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</si>
  <si>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</si>
  <si>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</si>
  <si>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</si>
  <si>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</si>
  <si>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</si>
  <si>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</si>
  <si>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</si>
  <si>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</si>
  <si>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</si>
  <si>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</si>
  <si>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</si>
  <si>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</si>
  <si>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</si>
  <si>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</si>
  <si>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</si>
  <si>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</si>
  <si>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</si>
  <si>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</si>
  <si>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</si>
  <si>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</si>
  <si>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</si>
  <si>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</si>
  <si>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</si>
  <si>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</si>
  <si>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</si>
  <si>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</si>
  <si>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</si>
  <si>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</si>
  <si>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</si>
  <si>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</si>
  <si>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</si>
  <si>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</si>
  <si>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</si>
  <si>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</si>
  <si>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</si>
  <si>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</si>
  <si>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</si>
  <si>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</si>
  <si>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</si>
  <si>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</si>
  <si>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</si>
  <si>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</si>
  <si>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</si>
  <si>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</si>
  <si>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</si>
  <si>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</si>
  <si>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</si>
  <si>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</si>
  <si>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</si>
  <si>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</si>
  <si>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</si>
  <si>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</si>
  <si>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</si>
  <si>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</si>
  <si>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</si>
  <si>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</si>
  <si>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</si>
  <si>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</si>
  <si>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</si>
  <si>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</si>
  <si>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</si>
  <si>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</si>
  <si>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</si>
  <si>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</si>
  <si>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</si>
  <si>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</si>
  <si>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</si>
  <si>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</si>
  <si>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</si>
  <si>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</si>
  <si>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</si>
  <si>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</si>
  <si>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</si>
  <si>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</si>
  <si>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</si>
  <si>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</si>
  <si>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</si>
  <si>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</si>
  <si>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</si>
  <si>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</si>
  <si>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</si>
  <si>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</si>
  <si>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</si>
  <si>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</si>
  <si>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</si>
  <si>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</si>
  <si>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</si>
  <si>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</si>
  <si>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</si>
  <si>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</si>
  <si>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</si>
  <si>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</si>
  <si>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</si>
  <si>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</si>
  <si>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</si>
  <si>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</si>
  <si>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</si>
  <si>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</si>
  <si>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</si>
  <si>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</si>
  <si>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</si>
  <si>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</si>
  <si>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</si>
  <si>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</si>
  <si>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</si>
  <si>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</si>
  <si>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</si>
  <si>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</si>
  <si>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</si>
  <si>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</si>
  <si>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</si>
  <si>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</si>
  <si>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</si>
  <si>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</si>
  <si>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</si>
  <si>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</si>
  <si>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</si>
  <si>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</si>
  <si>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</si>
  <si>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</si>
  <si>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</si>
  <si>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</si>
  <si>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</si>
  <si>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</si>
  <si>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</si>
  <si>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</si>
  <si>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</si>
  <si>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</si>
  <si>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</si>
  <si>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</si>
  <si>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</si>
  <si>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</si>
  <si>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</si>
  <si>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</si>
  <si>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</si>
  <si>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</si>
  <si>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</si>
  <si>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</si>
  <si>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</si>
  <si>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</si>
  <si>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</si>
  <si>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</si>
  <si>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</si>
  <si>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</si>
  <si>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</si>
  <si>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</si>
  <si>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</si>
  <si>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</si>
  <si>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</si>
  <si>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</si>
  <si>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</si>
  <si>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</si>
  <si>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</si>
  <si>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</si>
  <si>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</si>
  <si>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</si>
  <si>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</si>
  <si>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</si>
  <si>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</si>
  <si>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</si>
  <si>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</si>
  <si>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</si>
  <si>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</si>
  <si>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</si>
  <si>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</si>
  <si>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</si>
  <si>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</si>
  <si>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</si>
  <si>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</si>
  <si>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</si>
  <si>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</si>
  <si>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</si>
  <si>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</si>
  <si>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</si>
  <si>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</si>
  <si>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</si>
  <si>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</si>
  <si>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</si>
  <si>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</si>
  <si>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</si>
  <si>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</si>
  <si>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</si>
  <si>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</si>
  <si>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</si>
  <si>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</si>
  <si>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</si>
  <si>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</si>
  <si>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</si>
  <si>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</si>
  <si>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</si>
  <si>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</si>
  <si>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</si>
  <si>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</si>
  <si>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</si>
  <si>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</si>
  <si>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</si>
  <si>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</si>
  <si>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</si>
  <si>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</si>
  <si>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</si>
  <si>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</si>
  <si>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</si>
  <si>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</si>
  <si>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</si>
  <si>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</si>
  <si>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</si>
  <si>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</si>
  <si>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</si>
  <si>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</si>
  <si>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</si>
  <si>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</si>
  <si>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</si>
  <si>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</si>
  <si>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</si>
  <si>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</si>
  <si>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</si>
  <si>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</si>
  <si>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</si>
  <si>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</si>
  <si>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</si>
  <si>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</si>
  <si>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</si>
  <si>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</si>
  <si>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</si>
  <si>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</si>
  <si>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</si>
  <si>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</si>
  <si>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</si>
  <si>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</si>
  <si>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</si>
  <si>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</si>
  <si>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</si>
  <si>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</si>
  <si>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</si>
  <si>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</si>
  <si>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</si>
  <si>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</si>
  <si>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</si>
  <si>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</si>
  <si>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</si>
  <si>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</si>
  <si>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</si>
  <si>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</si>
  <si>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</si>
  <si>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</si>
  <si>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</si>
  <si>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</si>
  <si>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</si>
  <si>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</si>
  <si>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</si>
  <si>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</si>
  <si>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</si>
  <si>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</si>
  <si>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</si>
  <si>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</si>
  <si>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</si>
  <si>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</si>
  <si>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</si>
  <si>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</si>
  <si>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</si>
  <si>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</si>
  <si>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</si>
  <si>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</si>
  <si>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</si>
  <si>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</si>
  <si>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</si>
  <si>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</si>
  <si>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</si>
  <si>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</si>
  <si>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</si>
  <si>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</si>
  <si>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</si>
  <si>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</si>
  <si>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</si>
  <si>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</si>
  <si>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</si>
  <si>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</si>
  <si>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</si>
  <si>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</si>
  <si>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</si>
  <si>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</si>
  <si>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</si>
  <si>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</si>
  <si>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</si>
  <si>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</si>
  <si>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</si>
  <si>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</si>
  <si>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</si>
  <si>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</si>
  <si>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</si>
  <si>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</si>
  <si>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</si>
  <si>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</si>
  <si>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</si>
  <si>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</si>
  <si>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</si>
  <si>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</si>
  <si>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</si>
  <si>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</si>
  <si>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</si>
  <si>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</si>
  <si>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</si>
  <si>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</si>
  <si>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</si>
  <si>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</si>
  <si>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</si>
  <si>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</si>
  <si>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</si>
  <si>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</si>
  <si>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</si>
  <si>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</si>
  <si>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</si>
  <si>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</si>
  <si>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</si>
  <si>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</si>
  <si>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</si>
  <si>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</si>
  <si>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</si>
  <si>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</si>
  <si>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</si>
  <si>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</si>
  <si>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</si>
  <si>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</si>
  <si>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</si>
  <si>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</si>
  <si>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</si>
  <si>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</si>
  <si>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</si>
  <si>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</si>
  <si>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</si>
  <si>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</si>
  <si>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</si>
  <si>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</si>
  <si>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</si>
  <si>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</si>
  <si>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</si>
  <si>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</si>
  <si>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</si>
  <si>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</si>
  <si>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</si>
  <si>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</si>
  <si>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</si>
  <si>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</si>
  <si>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</si>
  <si>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</si>
  <si>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</si>
  <si>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</si>
  <si>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</si>
  <si>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</si>
  <si>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</si>
  <si>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</si>
  <si>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</si>
  <si>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</si>
  <si>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</si>
  <si>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</si>
  <si>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</si>
  <si>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</si>
  <si>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</si>
  <si>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</si>
  <si>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</si>
  <si>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</si>
  <si>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</si>
  <si>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</si>
  <si>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</si>
  <si>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</si>
  <si>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</si>
  <si>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</si>
  <si>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</si>
  <si>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</si>
  <si>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</si>
  <si>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办公/综合</t>
  </si>
  <si>
    <t>钢混</t>
  </si>
  <si>
    <t>扣毛地价</t>
  </si>
  <si>
    <t>市区</t>
  </si>
  <si>
    <t>地上</t>
  </si>
  <si>
    <t>商务金融用地（办公类）</t>
  </si>
  <si>
    <t>设定容积率</t>
  </si>
  <si>
    <t>五通一平</t>
  </si>
  <si>
    <t>四环路外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</si>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</sst>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66" t="s">
        <v>253</v>
      </c>
    </row>
    <row r="16" spans="1:7" ht="13.5">
      <c r="A16" s="1754"/>
      <c r="B16" s="667" t="s">
        <v>169</v>
      </c>
    </row>
    <row r="17" spans="1:2" ht="13.5">
      <c r="A17" s="180" t="s">
        <v>170</v>
      </c>
      <c r="B17" s="668"/>
    </row>
    <row r="18" spans="1:2" ht="13.5">
      <c r="A18" s="1752" t="s">
        <v>171</v>
      </c>
      <c r="B18" s="666" t="s">
        <v>1402</v>
      </c>
    </row>
    <row r="19" spans="1:2" ht="13.5">
      <c r="A19" s="1752"/>
      <c r="B19" s="666" t="s">
        <v>1403</v>
      </c>
    </row>
    <row r="20" spans="1:2" ht="13.5">
      <c r="A20" s="1752"/>
      <c r="B20" s="666" t="s">
        <v>1404</v>
      </c>
    </row>
    <row r="21" spans="1:2" ht="13.5">
      <c r="A21" s="1752"/>
      <c r="B21" s="503" t="s">
        <v>172</v>
      </c>
    </row>
    <row r="22" spans="1:2" ht="13.5">
      <c r="A22" s="1752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802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2"/>
      <c r="B19" s="1802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2"/>
      <c r="B24" s="1802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2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2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2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2"/>
      <c r="B36" s="1802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802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opLeftCell="A7" zoomScale="90" zoomScaleNormal="90" zoomScaleSheetLayoutView="89" workbookViewId="0">
      <selection activeCell="E57" sqref="E5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111.21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办公/综合</v>
      </c>
      <c r="F2" s="733" t="s">
        <v>689</v>
      </c>
      <c r="G2" s="735" t="str">
        <f>主表!B10</f>
        <v>七级</v>
      </c>
      <c r="H2" s="734" t="s">
        <v>1366</v>
      </c>
      <c r="I2" s="1352" t="s">
        <v>1773</v>
      </c>
      <c r="J2" s="736"/>
      <c r="AE2" s="731"/>
      <c r="AF2" s="731"/>
    </row>
    <row r="3" spans="1:36" ht="24">
      <c r="A3" s="687" t="s">
        <v>916</v>
      </c>
      <c r="B3" s="1439">
        <f>C18</f>
        <v>3150</v>
      </c>
      <c r="C3" s="732" t="s">
        <v>917</v>
      </c>
      <c r="D3" s="733" t="s">
        <v>256</v>
      </c>
      <c r="E3" s="737" t="s">
        <v>1774</v>
      </c>
      <c r="F3" s="1500" t="s">
        <v>1775</v>
      </c>
      <c r="G3" s="238">
        <f>IF(F3="容积率",主表!B8,主表!B9)</f>
        <v>1</v>
      </c>
      <c r="H3" s="738" t="s">
        <v>930</v>
      </c>
      <c r="I3" s="26">
        <f>SUMPRODUCT((A89:A92=E2)*(B88:K88=G2)*(B89:K92))</f>
        <v>1</v>
      </c>
      <c r="J3" s="736"/>
      <c r="AE3" s="731"/>
      <c r="AF3" s="731"/>
    </row>
    <row r="4" spans="1:36" ht="15.75">
      <c r="A4" s="686" t="s">
        <v>1581</v>
      </c>
      <c r="B4" s="633">
        <f>C20</f>
        <v>1204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1890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1100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v>500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取值范围:400—600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2.3845999999999998</v>
      </c>
      <c r="D9" s="1638" t="s">
        <v>265</v>
      </c>
      <c r="E9" s="1639">
        <v>37257</v>
      </c>
      <c r="F9" s="1640">
        <f>ROUND(SUMIF(地价!B3:F3,E2,地价!B72:F72),0)</f>
        <v>104</v>
      </c>
      <c r="G9" s="1641" t="s">
        <v>266</v>
      </c>
      <c r="H9" s="1642">
        <f>主表!B4</f>
        <v>41506</v>
      </c>
      <c r="I9" s="1643">
        <f>ROUND(SUMPRODUCT((地价!A22:A72=YEAR(H9)&amp;"-"&amp;ROUNDUP(MONTH(H9)/3,0))*(地价!B3:F3=E2)*(地价!B22:F72)),0)</f>
        <v>248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0.93959999999999999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42</v>
      </c>
      <c r="H10" s="1648">
        <f>IF(E2="住宅/居住",70,IF(E2="商业",40,50))</f>
        <v>50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1.1890000000000001</v>
      </c>
      <c r="D11" s="1532" t="s">
        <v>1772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1.1890000000000001</v>
      </c>
      <c r="E12" s="1523">
        <f>ROUNDDOWN(G3,1)</f>
        <v>1</v>
      </c>
      <c r="F12" s="1524">
        <f>IF(G3&lt;=10,SUMPRODUCT(('2002容积率修正'!A3:A102=E12)*('2002容积率修正'!B2:D2=E2)*('2002容积率修正'!B3:D102)),"——")</f>
        <v>1.1890000000000001</v>
      </c>
      <c r="G12" s="1522">
        <f>ROUNDUP(G3,1)</f>
        <v>1</v>
      </c>
      <c r="H12" s="638">
        <f>IF(G3&lt;=10,SUMPRODUCT(('2002容积率修正'!A3:A102=G12)*('2002容积率修正'!B2:D2=E2)*('2002容积率修正'!B3:D102)),"——")</f>
        <v>1.1890000000000001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1.1890000000000001</v>
      </c>
      <c r="E13" s="1523">
        <f>ROUNDDOWN(G3,1)</f>
        <v>1</v>
      </c>
      <c r="F13" s="1524">
        <f>IF(G3&lt;=10,SUMPRODUCT(('2002容积率修正'!A3:A102=E13)*('2002容积率修正'!E2:G2=E2)*('2002容积率修正'!E3:G102)),"——")</f>
        <v>1</v>
      </c>
      <c r="G13" s="1522">
        <f>ROUNDUP(G3,1)</f>
        <v>1</v>
      </c>
      <c r="H13" s="638">
        <f>IF(G3&lt;=10,SUMPRODUCT(('2002容积率修正'!A3:A102=G13)*('2002容积率修正'!E2:G2=E2)*('2002容积率修正'!E3:G102)),"——")</f>
        <v>1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1.075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五通一平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2" t="s">
        <v>1353</v>
      </c>
      <c r="B18" s="780" t="s">
        <v>1340</v>
      </c>
      <c r="C18" s="646">
        <f>ROUND(C7*C9*C10*C11*C15*C16,0)</f>
        <v>3150</v>
      </c>
      <c r="D18" s="647">
        <f>H1</f>
        <v>111.21</v>
      </c>
      <c r="E18" s="648">
        <f>ROUND(C18*D18,0)</f>
        <v>350312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3"/>
      <c r="B19" s="785" t="s">
        <v>1343</v>
      </c>
      <c r="C19" s="638">
        <f>ROUND(C7*C9*C10*C11*C15*C16*G3,0)</f>
        <v>3150</v>
      </c>
      <c r="D19" s="647">
        <f>J1</f>
        <v>0</v>
      </c>
      <c r="E19" s="648">
        <f>ROUND(C19*D19,0)</f>
        <v>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4" t="s">
        <v>1354</v>
      </c>
      <c r="B20" s="767" t="s">
        <v>1341</v>
      </c>
      <c r="C20" s="652">
        <f>ROUND(IF(G3&gt;=I3,C8*C9*C10*C15,C8*C9*C10*C15*G3),0)</f>
        <v>1204</v>
      </c>
      <c r="D20" s="653">
        <f>H1</f>
        <v>111.21</v>
      </c>
      <c r="E20" s="654">
        <f>ROUND(C20*D20,0)</f>
        <v>133897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4"/>
      <c r="B21" s="790" t="s">
        <v>1342</v>
      </c>
      <c r="C21" s="655">
        <f>ROUND(IF(G3&lt;I3,C8*C9*C10*C15,C8*C9*C10*C15*G3),0)</f>
        <v>1204</v>
      </c>
      <c r="D21" s="656">
        <f>J1</f>
        <v>0</v>
      </c>
      <c r="E21" s="657">
        <f t="shared" ref="E21" si="0">ROUND(C21*D21,0)</f>
        <v>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1890</v>
      </c>
      <c r="D22" s="795" t="s">
        <v>1777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47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7.4999999999999997E-2</v>
      </c>
      <c r="G42" s="531">
        <f>F42/2</f>
        <v>3.7499999999999999E-2</v>
      </c>
      <c r="H42" s="532">
        <v>0</v>
      </c>
      <c r="I42" s="531">
        <f>J42/2</f>
        <v>-3.7499999999999999E-2</v>
      </c>
      <c r="J42" s="531">
        <f>SUMPRODUCT(('2002因素修正幅度'!$A$66:$A$72=A42)*('2002因素修正幅度'!$B$35:$K$35=$G$2)*('2002因素修正幅度'!$B$66:$K$72))</f>
        <v>-7.4999999999999997E-2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3.7499999999999999E-2</v>
      </c>
      <c r="G43" s="531">
        <f t="shared" ref="G43:G48" si="2">F43/2</f>
        <v>1.8749999999999999E-2</v>
      </c>
      <c r="H43" s="532">
        <v>0</v>
      </c>
      <c r="I43" s="531">
        <f t="shared" ref="I43:I48" si="3">J43/2</f>
        <v>-1.8749999999999999E-2</v>
      </c>
      <c r="J43" s="531">
        <f>SUMPRODUCT(('2002因素修正幅度'!$A$66:$A$72=A43)*('2002因素修正幅度'!$B$35:$K$35=$G$2)*('2002因素修正幅度'!$B$66:$K$72))</f>
        <v>-3.7499999999999999E-2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2.5000000000000001E-2</v>
      </c>
      <c r="G44" s="531">
        <f t="shared" si="2"/>
        <v>1.2500000000000001E-2</v>
      </c>
      <c r="H44" s="532">
        <v>0</v>
      </c>
      <c r="I44" s="531">
        <f t="shared" si="3"/>
        <v>-1.2500000000000001E-2</v>
      </c>
      <c r="J44" s="531">
        <f>SUMPRODUCT(('2002因素修正幅度'!$A$66:$A$72=A44)*('2002因素修正幅度'!$B$35:$K$35=$G$2)*('2002因素修正幅度'!$B$66:$K$72))</f>
        <v>-2.5000000000000001E-2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0.05</v>
      </c>
      <c r="G45" s="531">
        <f t="shared" si="2"/>
        <v>2.5000000000000001E-2</v>
      </c>
      <c r="H45" s="532">
        <v>0</v>
      </c>
      <c r="I45" s="531">
        <f t="shared" si="3"/>
        <v>-2.5000000000000001E-2</v>
      </c>
      <c r="J45" s="531">
        <f>SUMPRODUCT(('2002因素修正幅度'!$A$66:$A$72=A45)*('2002因素修正幅度'!$B$35:$K$35=$G$2)*('2002因素修正幅度'!$B$66:$K$72))</f>
        <v>-0.05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2.5000000000000001E-2</v>
      </c>
      <c r="G46" s="531">
        <f t="shared" si="2"/>
        <v>1.2500000000000001E-2</v>
      </c>
      <c r="H46" s="532">
        <v>0</v>
      </c>
      <c r="I46" s="531">
        <f t="shared" si="3"/>
        <v>-1.2500000000000001E-2</v>
      </c>
      <c r="J46" s="531">
        <f>SUMPRODUCT(('2002因素修正幅度'!$A$66:$A$72=A46)*('2002因素修正幅度'!$B$35:$K$35=$G$2)*('2002因素修正幅度'!$B$66:$K$72))</f>
        <v>-2.5000000000000001E-2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0.02</v>
      </c>
      <c r="G47" s="531">
        <f t="shared" si="2"/>
        <v>0.01</v>
      </c>
      <c r="H47" s="532">
        <v>0</v>
      </c>
      <c r="I47" s="531">
        <f t="shared" si="3"/>
        <v>-0.01</v>
      </c>
      <c r="J47" s="531">
        <f>SUMPRODUCT(('2002因素修正幅度'!$A$66:$A$72=A47)*('2002因素修正幅度'!$B$35:$K$35=$G$2)*('2002因素修正幅度'!$B$66:$K$72))</f>
        <v>-0.02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1.7500000000000002E-2</v>
      </c>
      <c r="G48" s="531">
        <f t="shared" si="2"/>
        <v>8.7500000000000008E-3</v>
      </c>
      <c r="H48" s="532">
        <v>0</v>
      </c>
      <c r="I48" s="531">
        <f t="shared" si="3"/>
        <v>-8.7500000000000008E-3</v>
      </c>
      <c r="J48" s="531">
        <f>SUMPRODUCT(('2002因素修正幅度'!$A$66:$A$72=A48)*('2002因素修正幅度'!$B$35:$K$35=$G$2)*('2002因素修正幅度'!$B$66:$K$72))</f>
        <v>-1.7500000000000002E-2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1.075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 t="s">
        <v>1778</v>
      </c>
      <c r="D51" s="493">
        <f t="shared" ref="D51:D57" si="4">SUMIF($F$50:$J$50,C51,F51:J51)</f>
        <v>0.02</v>
      </c>
      <c r="E51" s="253">
        <f>SUM(D51:D57)</f>
        <v>7.4999999999999997E-2</v>
      </c>
      <c r="F51" s="531">
        <f>SUMPRODUCT(('2002因素修正幅度'!$A$43:$A$49=A51)*('2002因素修正幅度'!$B$35:$K$35=$G$2)*('2002因素修正幅度'!$B$43:$K$49))</f>
        <v>0.04</v>
      </c>
      <c r="G51" s="531">
        <f>F51/2</f>
        <v>0.02</v>
      </c>
      <c r="H51" s="532">
        <v>0</v>
      </c>
      <c r="I51" s="531">
        <f>J51/2</f>
        <v>-0.02</v>
      </c>
      <c r="J51" s="531">
        <f>SUMPRODUCT(('2002因素修正幅度'!$A$73:$A$79=A51)*('2002因素修正幅度'!$B$35:$K$35=$G$2)*('2002因素修正幅度'!$B$73:$K$79))</f>
        <v>-0.04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 t="s">
        <v>1778</v>
      </c>
      <c r="D52" s="493">
        <f t="shared" si="4"/>
        <v>2.5000000000000001E-2</v>
      </c>
      <c r="E52" s="255"/>
      <c r="F52" s="531">
        <f>SUMPRODUCT(('2002因素修正幅度'!$A$43:$A$49=A52)*('2002因素修正幅度'!$B$35:$K$35=$G$2)*('2002因素修正幅度'!$B$43:$K$49))</f>
        <v>0.05</v>
      </c>
      <c r="G52" s="531">
        <f t="shared" ref="G52:G57" si="5">F52/2</f>
        <v>2.5000000000000001E-2</v>
      </c>
      <c r="H52" s="532">
        <v>0</v>
      </c>
      <c r="I52" s="531">
        <f t="shared" ref="I52:I57" si="6">J52/2</f>
        <v>-2.5000000000000001E-2</v>
      </c>
      <c r="J52" s="531">
        <f>SUMPRODUCT(('2002因素修正幅度'!$A$73:$A$79=A52)*('2002因素修正幅度'!$B$35:$K$35=$G$2)*('2002因素修正幅度'!$B$73:$K$79))</f>
        <v>-0.05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 t="s">
        <v>15</v>
      </c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0.02</v>
      </c>
      <c r="G53" s="531">
        <f t="shared" si="5"/>
        <v>0.01</v>
      </c>
      <c r="H53" s="532">
        <v>0</v>
      </c>
      <c r="I53" s="531">
        <f t="shared" si="6"/>
        <v>-0.01</v>
      </c>
      <c r="J53" s="531">
        <f>SUMPRODUCT(('2002因素修正幅度'!$A$73:$A$79=A53)*('2002因素修正幅度'!$B$35:$K$35=$G$2)*('2002因素修正幅度'!$B$73:$K$79))</f>
        <v>-0.02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 t="s">
        <v>1778</v>
      </c>
      <c r="D54" s="493">
        <f t="shared" si="4"/>
        <v>0.01</v>
      </c>
      <c r="E54" s="255"/>
      <c r="F54" s="531">
        <f>SUMPRODUCT(('2002因素修正幅度'!$A$43:$A$49=A54)*('2002因素修正幅度'!$B$35:$K$35=$G$2)*('2002因素修正幅度'!$B$43:$K$49))</f>
        <v>0.02</v>
      </c>
      <c r="G54" s="531">
        <f t="shared" si="5"/>
        <v>0.01</v>
      </c>
      <c r="H54" s="532">
        <v>0</v>
      </c>
      <c r="I54" s="531">
        <f t="shared" si="6"/>
        <v>-0.01</v>
      </c>
      <c r="J54" s="531">
        <f>SUMPRODUCT(('2002因素修正幅度'!$A$73:$A$79=A54)*('2002因素修正幅度'!$B$35:$K$35=$G$2)*('2002因素修正幅度'!$B$73:$K$79))</f>
        <v>-0.02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 t="s">
        <v>15</v>
      </c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0.03</v>
      </c>
      <c r="G55" s="531">
        <f t="shared" si="5"/>
        <v>1.4999999999999999E-2</v>
      </c>
      <c r="H55" s="532">
        <v>0</v>
      </c>
      <c r="I55" s="531">
        <f t="shared" si="6"/>
        <v>-1.4999999999999999E-2</v>
      </c>
      <c r="J55" s="531">
        <f>SUMPRODUCT(('2002因素修正幅度'!$A$73:$A$79=A55)*('2002因素修正幅度'!$B$35:$K$35=$G$2)*('2002因素修正幅度'!$B$73:$K$79))</f>
        <v>-0.03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 t="s">
        <v>1778</v>
      </c>
      <c r="D56" s="493">
        <f t="shared" si="4"/>
        <v>8.0000000000000002E-3</v>
      </c>
      <c r="E56" s="255"/>
      <c r="F56" s="531">
        <f>SUMPRODUCT(('2002因素修正幅度'!$A$43:$A$49=A56)*('2002因素修正幅度'!$B$35:$K$35=$G$2)*('2002因素修正幅度'!$B$43:$K$49))</f>
        <v>1.6E-2</v>
      </c>
      <c r="G56" s="531">
        <f t="shared" si="5"/>
        <v>8.0000000000000002E-3</v>
      </c>
      <c r="H56" s="532">
        <v>0</v>
      </c>
      <c r="I56" s="531">
        <f t="shared" si="6"/>
        <v>-8.0000000000000002E-3</v>
      </c>
      <c r="J56" s="531">
        <f>SUMPRODUCT(('2002因素修正幅度'!$A$73:$A$79=A56)*('2002因素修正幅度'!$B$35:$K$35=$G$2)*('2002因素修正幅度'!$B$73:$K$79))</f>
        <v>-1.6E-2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 t="s">
        <v>1778</v>
      </c>
      <c r="D57" s="493">
        <f t="shared" si="4"/>
        <v>1.2E-2</v>
      </c>
      <c r="E57" s="255"/>
      <c r="F57" s="531">
        <f>SUMPRODUCT(('2002因素修正幅度'!$A$43:$A$49=A57)*('2002因素修正幅度'!$B$35:$K$35=$G$2)*('2002因素修正幅度'!$B$43:$K$49))</f>
        <v>2.4E-2</v>
      </c>
      <c r="G57" s="531">
        <f t="shared" si="5"/>
        <v>1.2E-2</v>
      </c>
      <c r="H57" s="532">
        <v>0</v>
      </c>
      <c r="I57" s="531">
        <f t="shared" si="6"/>
        <v>-1.2E-2</v>
      </c>
      <c r="J57" s="531">
        <f>SUMPRODUCT(('2002因素修正幅度'!$A$73:$A$79=A57)*('2002因素修正幅度'!$B$35:$K$35=$G$2)*('2002因素修正幅度'!$B$73:$K$79))</f>
        <v>-2.4E-2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-1.35E-2</v>
      </c>
      <c r="J60" s="531">
        <f>SUMPRODUCT(('2002因素修正幅度'!$A$80:$A$87=A60)*('2002因素修正幅度'!$B$35:$K$35=$G$2)*('2002因素修正幅度'!$B$80:$K$87))</f>
        <v>-2.7E-2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-2.7E-2</v>
      </c>
      <c r="J61" s="531">
        <f>SUMPRODUCT(('2002因素修正幅度'!$A$80:$A$87=A61)*('2002因素修正幅度'!$B$35:$K$35=$G$2)*('2002因素修正幅度'!$B$80:$K$87))</f>
        <v>-5.3999999999999999E-2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-1.35E-2</v>
      </c>
      <c r="J62" s="531">
        <f>SUMPRODUCT(('2002因素修正幅度'!$A$80:$A$87=A62)*('2002因素修正幅度'!$B$35:$K$35=$G$2)*('2002因素修正幅度'!$B$80:$K$87))</f>
        <v>-2.7E-2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-1.35E-2</v>
      </c>
      <c r="J63" s="531">
        <f>SUMPRODUCT(('2002因素修正幅度'!$A$80:$A$87=A63)*('2002因素修正幅度'!$B$35:$K$35=$G$2)*('2002因素修正幅度'!$B$80:$K$87))</f>
        <v>-2.7E-2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-1.0800000000000001E-2</v>
      </c>
      <c r="J64" s="531">
        <f>SUMPRODUCT(('2002因素修正幅度'!$A$80:$A$87=A64)*('2002因素修正幅度'!$B$35:$K$35=$G$2)*('2002因素修正幅度'!$B$80:$K$87))</f>
        <v>-2.1600000000000001E-2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-1.6199999999999999E-2</v>
      </c>
      <c r="J65" s="531">
        <f>SUMPRODUCT(('2002因素修正幅度'!$A$80:$A$87=A65)*('2002因素修正幅度'!$B$35:$K$35=$G$2)*('2002因素修正幅度'!$B$80:$K$87))</f>
        <v>-3.2399999999999998E-2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-2.7E-2</v>
      </c>
      <c r="J66" s="531">
        <f>SUMPRODUCT(('2002因素修正幅度'!$A$80:$A$87=A66)*('2002因素修正幅度'!$B$35:$K$35=$G$2)*('2002因素修正幅度'!$B$80:$K$87))</f>
        <v>-5.3999999999999999E-2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-1.35E-2</v>
      </c>
      <c r="J67" s="531">
        <f>SUMPRODUCT(('2002因素修正幅度'!$A$80:$A$87=A67)*('2002因素修正幅度'!$B$35:$K$35=$G$2)*('2002因素修正幅度'!$B$80:$K$87))</f>
        <v>-2.7E-2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4.5999999999999999E-2</v>
      </c>
      <c r="G70" s="531">
        <f t="shared" ref="G70:G76" si="11">F70/2</f>
        <v>2.3E-2</v>
      </c>
      <c r="H70" s="532">
        <v>0</v>
      </c>
      <c r="I70" s="531">
        <f t="shared" ref="I70:I76" si="12">J70/2</f>
        <v>-2.3E-2</v>
      </c>
      <c r="J70" s="531">
        <f>SUMPRODUCT(('2002因素修正幅度'!$A$88:$A$94=A70)*('2002因素修正幅度'!$B$35:$K$35=$G$2)*('2002因素修正幅度'!$B$88:$K$94))</f>
        <v>-4.5999999999999999E-2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7.3599999999999999E-2</v>
      </c>
      <c r="G71" s="531">
        <f t="shared" si="11"/>
        <v>3.6799999999999999E-2</v>
      </c>
      <c r="H71" s="532">
        <v>0</v>
      </c>
      <c r="I71" s="531">
        <f t="shared" si="12"/>
        <v>-3.6799999999999999E-2</v>
      </c>
      <c r="J71" s="531">
        <f>SUMPRODUCT(('2002因素修正幅度'!$A$88:$A$94=A71)*('2002因素修正幅度'!$B$35:$K$35=$G$2)*('2002因素修正幅度'!$B$88:$K$94))</f>
        <v>-7.3599999999999999E-2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2.3E-2</v>
      </c>
      <c r="G72" s="531">
        <f t="shared" si="11"/>
        <v>1.15E-2</v>
      </c>
      <c r="H72" s="532">
        <v>0</v>
      </c>
      <c r="I72" s="531">
        <f t="shared" si="12"/>
        <v>-1.15E-2</v>
      </c>
      <c r="J72" s="531">
        <f>SUMPRODUCT(('2002因素修正幅度'!$A$88:$A$94=A72)*('2002因素修正幅度'!$B$35:$K$35=$G$2)*('2002因素修正幅度'!$B$88:$K$94))</f>
        <v>-2.3E-2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1.84E-2</v>
      </c>
      <c r="G73" s="531">
        <f t="shared" si="11"/>
        <v>9.1999999999999998E-3</v>
      </c>
      <c r="H73" s="532">
        <v>0</v>
      </c>
      <c r="I73" s="531">
        <f t="shared" si="12"/>
        <v>-9.1999999999999998E-3</v>
      </c>
      <c r="J73" s="531">
        <f>SUMPRODUCT(('2002因素修正幅度'!$A$88:$A$94=A73)*('2002因素修正幅度'!$B$35:$K$35=$G$2)*('2002因素修正幅度'!$B$88:$K$94))</f>
        <v>-1.84E-2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2.76E-2</v>
      </c>
      <c r="G74" s="531">
        <f t="shared" si="11"/>
        <v>1.38E-2</v>
      </c>
      <c r="H74" s="532">
        <v>0</v>
      </c>
      <c r="I74" s="531">
        <f t="shared" si="12"/>
        <v>-1.38E-2</v>
      </c>
      <c r="J74" s="531">
        <f>SUMPRODUCT(('2002因素修正幅度'!$A$88:$A$94=A74)*('2002因素修正幅度'!$B$35:$K$35=$G$2)*('2002因素修正幅度'!$B$88:$K$94))</f>
        <v>-2.76E-2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2.3E-2</v>
      </c>
      <c r="G75" s="531">
        <f t="shared" si="11"/>
        <v>1.15E-2</v>
      </c>
      <c r="H75" s="532">
        <v>0</v>
      </c>
      <c r="I75" s="531">
        <f t="shared" si="12"/>
        <v>-1.15E-2</v>
      </c>
      <c r="J75" s="531">
        <f>SUMPRODUCT(('2002因素修正幅度'!$A$88:$A$94=A75)*('2002因素修正幅度'!$B$35:$K$35=$G$2)*('2002因素修正幅度'!$B$88:$K$94))</f>
        <v>-2.3E-2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1.84E-2</v>
      </c>
      <c r="G76" s="531">
        <f t="shared" si="11"/>
        <v>9.1999999999999998E-3</v>
      </c>
      <c r="H76" s="532">
        <v>0</v>
      </c>
      <c r="I76" s="531">
        <f t="shared" si="12"/>
        <v>-9.1999999999999998E-3</v>
      </c>
      <c r="J76" s="531">
        <f>SUMPRODUCT(('2002因素修正幅度'!$A$88:$A$94=A76)*('2002因素修正幅度'!$B$35:$K$35=$G$2)*('2002因素修正幅度'!$B$88:$K$94))</f>
        <v>-1.84E-2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1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0.97919999999999996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0.85470000000000002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0.97919999999999996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0.99609999999999999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0.71750000000000003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办公/综合</v>
      </c>
      <c r="L1" s="582" t="str">
        <f>'2002基准地价'!G2</f>
        <v>七级</v>
      </c>
      <c r="M1" s="583">
        <f>SUMPRODUCT((K3:K12=L1)*(L2:O2=K1)*(L3:O12))</f>
        <v>1100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8" t="s">
        <v>1324</v>
      </c>
      <c r="B1" s="1815" t="s">
        <v>1325</v>
      </c>
      <c r="C1" s="1816"/>
      <c r="D1" s="1817"/>
      <c r="E1" s="1815" t="s">
        <v>1326</v>
      </c>
      <c r="F1" s="1816"/>
      <c r="G1" s="1817"/>
    </row>
    <row r="2" spans="1:7">
      <c r="A2" s="1819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3" t="s">
        <v>1439</v>
      </c>
      <c r="E2" s="1827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79" t="s">
        <v>917</v>
      </c>
      <c r="D3" s="1824"/>
      <c r="E3" s="1828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4"/>
      <c r="E4" s="1828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办公/综合</v>
      </c>
      <c r="C5" s="722"/>
      <c r="D5" s="1825"/>
      <c r="E5" s="1829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3" t="s">
        <v>1440</v>
      </c>
      <c r="E6" s="1827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七类</v>
      </c>
      <c r="C7" s="722"/>
      <c r="D7" s="1824"/>
      <c r="E7" s="1828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5"/>
      <c r="E8" s="1829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111.21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823" t="s">
        <v>1418</v>
      </c>
      <c r="E10" s="1827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 t="e">
        <f>IF(A11="容积率",主表!B8,主表!B9)</f>
        <v>#DIV/0!</v>
      </c>
      <c r="C11" s="722"/>
      <c r="D11" s="1826"/>
      <c r="E11" s="1830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0.95689999999999997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5.2000000000000005E-2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42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50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2" t="s">
        <v>1353</v>
      </c>
      <c r="B27" s="780" t="s">
        <v>1340</v>
      </c>
      <c r="C27" s="638" t="e">
        <f>ROUND(C28/B11,0)</f>
        <v>#DIV/0!</v>
      </c>
      <c r="D27" s="647">
        <f>B9</f>
        <v>111.21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3"/>
      <c r="B28" s="785" t="s">
        <v>1343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4" t="s">
        <v>1466</v>
      </c>
      <c r="B29" s="767" t="s">
        <v>1467</v>
      </c>
      <c r="C29" s="652" t="e">
        <f>ROUND(C30/B11,0)</f>
        <v>#DIV/0!</v>
      </c>
      <c r="D29" s="653">
        <f>B9</f>
        <v>111.21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33"/>
      <c r="B30" s="982" t="s">
        <v>1468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1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2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2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2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2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2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2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2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0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1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1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1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1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2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1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1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1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2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7" t="s">
        <v>91</v>
      </c>
      <c r="D4" s="1858"/>
      <c r="E4" s="1859" t="s">
        <v>92</v>
      </c>
      <c r="F4" s="1860"/>
      <c r="G4" s="1857" t="s">
        <v>93</v>
      </c>
      <c r="H4" s="1858"/>
      <c r="I4" s="1857" t="s">
        <v>94</v>
      </c>
      <c r="J4" s="1858"/>
      <c r="K4" s="142" t="s">
        <v>95</v>
      </c>
      <c r="L4" s="451"/>
      <c r="M4" s="452"/>
      <c r="N4" s="452"/>
      <c r="O4" s="452"/>
      <c r="P4" s="1861" t="s">
        <v>96</v>
      </c>
      <c r="Q4" s="1862"/>
      <c r="R4" s="1844" t="s">
        <v>92</v>
      </c>
      <c r="S4" s="1845"/>
      <c r="T4" s="1844" t="s">
        <v>93</v>
      </c>
      <c r="U4" s="1845"/>
      <c r="V4" s="1841" t="s">
        <v>94</v>
      </c>
      <c r="W4" s="1841"/>
      <c r="X4" s="201"/>
      <c r="Y4" s="1844" t="s">
        <v>96</v>
      </c>
      <c r="Z4" s="1845"/>
      <c r="AA4" s="1854" t="s">
        <v>92</v>
      </c>
      <c r="AB4" s="1855" t="s">
        <v>93</v>
      </c>
      <c r="AC4" s="1854" t="s">
        <v>94</v>
      </c>
    </row>
    <row r="5" spans="1:30" ht="15">
      <c r="A5" s="41"/>
      <c r="B5" s="42"/>
      <c r="C5" s="1869" t="s">
        <v>230</v>
      </c>
      <c r="D5" s="1870"/>
      <c r="E5" s="1867" t="s">
        <v>231</v>
      </c>
      <c r="F5" s="1868"/>
      <c r="G5" s="1869" t="s">
        <v>234</v>
      </c>
      <c r="H5" s="1870"/>
      <c r="I5" s="1869" t="s">
        <v>232</v>
      </c>
      <c r="J5" s="1870"/>
      <c r="K5" s="142"/>
      <c r="L5" s="451"/>
      <c r="M5" s="452"/>
      <c r="N5" s="452"/>
      <c r="O5" s="452"/>
      <c r="P5" s="1863"/>
      <c r="Q5" s="1864"/>
      <c r="R5" s="1846"/>
      <c r="S5" s="1847"/>
      <c r="T5" s="1846"/>
      <c r="U5" s="1847"/>
      <c r="V5" s="1841"/>
      <c r="W5" s="1841"/>
      <c r="X5" s="201"/>
      <c r="Y5" s="1846"/>
      <c r="Z5" s="1847"/>
      <c r="AA5" s="1855"/>
      <c r="AB5" s="1855"/>
      <c r="AC5" s="1855"/>
    </row>
    <row r="6" spans="1:30" ht="15.75" thickBot="1">
      <c r="A6" s="43"/>
      <c r="B6" s="44"/>
      <c r="C6" s="1871" t="s">
        <v>233</v>
      </c>
      <c r="D6" s="1872"/>
      <c r="E6" s="1873" t="s">
        <v>233</v>
      </c>
      <c r="F6" s="1874"/>
      <c r="G6" s="1871" t="s">
        <v>233</v>
      </c>
      <c r="H6" s="1872"/>
      <c r="I6" s="1871" t="s">
        <v>233</v>
      </c>
      <c r="J6" s="1872"/>
      <c r="K6" s="142" t="s">
        <v>97</v>
      </c>
      <c r="L6" s="451"/>
      <c r="M6" s="452"/>
      <c r="N6" s="452"/>
      <c r="O6" s="452"/>
      <c r="P6" s="1865"/>
      <c r="Q6" s="1866"/>
      <c r="R6" s="1846"/>
      <c r="S6" s="1847"/>
      <c r="T6" s="1848"/>
      <c r="U6" s="1849"/>
      <c r="V6" s="1841"/>
      <c r="W6" s="1841"/>
      <c r="X6" s="201"/>
      <c r="Y6" s="1848"/>
      <c r="Z6" s="1849"/>
      <c r="AA6" s="1856"/>
      <c r="AB6" s="1856"/>
      <c r="AC6" s="1856"/>
    </row>
    <row r="7" spans="1:30" s="22" customFormat="1" ht="15.75" thickBot="1">
      <c r="A7" s="45" t="s">
        <v>98</v>
      </c>
      <c r="B7" s="46"/>
      <c r="C7" s="1385">
        <f>主表!B4</f>
        <v>41506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2" t="s">
        <v>99</v>
      </c>
      <c r="Q7" s="185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2" t="s">
        <v>99</v>
      </c>
      <c r="Z7" s="184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2" t="s">
        <v>125</v>
      </c>
      <c r="Q8" s="184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2" t="s">
        <v>125</v>
      </c>
      <c r="Z8" s="184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七级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2"/>
      <c r="Q16" s="206"/>
      <c r="R16" s="207"/>
      <c r="S16" s="208"/>
      <c r="T16" s="207"/>
      <c r="U16" s="208"/>
      <c r="V16" s="207"/>
      <c r="W16" s="208"/>
      <c r="X16" s="201"/>
      <c r="Y16" s="1852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2"/>
      <c r="Q18" s="206"/>
      <c r="R18" s="207"/>
      <c r="S18" s="208"/>
      <c r="T18" s="207"/>
      <c r="U18" s="208"/>
      <c r="V18" s="207"/>
      <c r="W18" s="208"/>
      <c r="X18" s="201"/>
      <c r="Y18" s="1852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2"/>
      <c r="Q20" s="206"/>
      <c r="R20" s="207"/>
      <c r="S20" s="208"/>
      <c r="T20" s="207"/>
      <c r="U20" s="208"/>
      <c r="V20" s="207"/>
      <c r="W20" s="208"/>
      <c r="X20" s="201"/>
      <c r="Y20" s="1852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2"/>
      <c r="Q22" s="206"/>
      <c r="R22" s="207"/>
      <c r="S22" s="208"/>
      <c r="T22" s="207"/>
      <c r="U22" s="208"/>
      <c r="V22" s="207"/>
      <c r="W22" s="208"/>
      <c r="X22" s="201"/>
      <c r="Y22" s="185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2"/>
      <c r="Q24" s="235"/>
      <c r="R24" s="207"/>
      <c r="S24" s="208"/>
      <c r="T24" s="207"/>
      <c r="U24" s="208"/>
      <c r="V24" s="207"/>
      <c r="W24" s="208"/>
      <c r="X24" s="234"/>
      <c r="Y24" s="1852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2"/>
      <c r="Q26" s="206"/>
      <c r="R26" s="207"/>
      <c r="S26" s="208"/>
      <c r="T26" s="207"/>
      <c r="U26" s="208"/>
      <c r="V26" s="207"/>
      <c r="W26" s="208"/>
      <c r="X26" s="201"/>
      <c r="Y26" s="185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2"/>
      <c r="Q28" s="18"/>
      <c r="R28" s="202"/>
      <c r="S28" s="203"/>
      <c r="T28" s="202"/>
      <c r="U28" s="203"/>
      <c r="V28" s="202"/>
      <c r="W28" s="203"/>
      <c r="X28" s="204"/>
      <c r="Y28" s="1852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2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2"/>
      <c r="Q30" s="500"/>
      <c r="R30" s="202"/>
      <c r="S30" s="203"/>
      <c r="T30" s="202"/>
      <c r="U30" s="203"/>
      <c r="V30" s="202"/>
      <c r="W30" s="203"/>
      <c r="X30" s="204"/>
      <c r="Y30" s="185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2"/>
      <c r="Q33" s="206"/>
      <c r="R33" s="207"/>
      <c r="S33" s="208"/>
      <c r="T33" s="207"/>
      <c r="U33" s="208"/>
      <c r="V33" s="207"/>
      <c r="W33" s="208"/>
      <c r="X33" s="201"/>
      <c r="Y33" s="185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4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4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4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4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4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4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4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4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4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41">
        <f>E46</f>
        <v>0</v>
      </c>
      <c r="S46" s="1841"/>
      <c r="T46" s="1841">
        <f>G46</f>
        <v>0</v>
      </c>
      <c r="U46" s="1841"/>
      <c r="V46" s="1841">
        <f>I46</f>
        <v>0</v>
      </c>
      <c r="W46" s="184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35" t="e">
        <f>ROUND(PRODUCT(R46,AA7:AA45),0)</f>
        <v>#DIV/0!</v>
      </c>
      <c r="S47" s="1835"/>
      <c r="T47" s="1835" t="e">
        <f>ROUND(PRODUCT(T46,AB7:AB45),0)</f>
        <v>#DIV/0!</v>
      </c>
      <c r="U47" s="1835"/>
      <c r="V47" s="1835" t="e">
        <f>ROUND(PRODUCT(V46,AC7:AC45),0)</f>
        <v>#DIV/0!</v>
      </c>
      <c r="W47" s="1835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6" t="str">
        <f>A48</f>
        <v>估价对象比较价值（单价内涵，元/平方米）</v>
      </c>
      <c r="Q48" s="1837"/>
      <c r="R48" s="1838" t="e">
        <f>ROUND(AVERAGE(R47:V47),0)</f>
        <v>#DIV/0!</v>
      </c>
      <c r="S48" s="1838"/>
      <c r="T48" s="1838"/>
      <c r="U48" s="1838"/>
      <c r="V48" s="1838"/>
      <c r="W48" s="1838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2013-8-1</v>
      </c>
      <c r="D56" s="1688">
        <f>EDATE(C56,-3)</f>
        <v>41395</v>
      </c>
      <c r="E56" s="1688">
        <f t="shared" ref="E56:O56" si="15">EDATE(D56,-3)</f>
        <v>41306</v>
      </c>
      <c r="F56" s="1688">
        <f t="shared" si="15"/>
        <v>41214</v>
      </c>
      <c r="G56" s="1688">
        <f t="shared" si="15"/>
        <v>41122</v>
      </c>
      <c r="H56" s="1688">
        <f t="shared" si="15"/>
        <v>41030</v>
      </c>
      <c r="I56" s="1688">
        <f t="shared" si="15"/>
        <v>40940</v>
      </c>
      <c r="J56" s="1688">
        <f t="shared" si="15"/>
        <v>40848</v>
      </c>
      <c r="K56" s="1688">
        <f t="shared" si="15"/>
        <v>40756</v>
      </c>
      <c r="L56" s="1688">
        <f t="shared" si="15"/>
        <v>40664</v>
      </c>
      <c r="M56" s="1688">
        <f t="shared" si="15"/>
        <v>40575</v>
      </c>
      <c r="N56" s="1688">
        <f t="shared" si="15"/>
        <v>40483</v>
      </c>
      <c r="O56" s="1688">
        <f t="shared" si="15"/>
        <v>40391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2013-3</v>
      </c>
      <c r="D58" s="1687" t="str">
        <f t="shared" ref="D58:O58" si="16">YEAR(D56)&amp;"-"&amp;ROUNDUP(MONTH(D56)/3,0)</f>
        <v>2013-2</v>
      </c>
      <c r="E58" s="1687" t="str">
        <f t="shared" si="16"/>
        <v>2013-1</v>
      </c>
      <c r="F58" s="1687" t="str">
        <f t="shared" si="16"/>
        <v>2012-4</v>
      </c>
      <c r="G58" s="1687" t="str">
        <f t="shared" si="16"/>
        <v>2012-3</v>
      </c>
      <c r="H58" s="1687" t="str">
        <f t="shared" si="16"/>
        <v>2012-2</v>
      </c>
      <c r="I58" s="1687" t="str">
        <f t="shared" si="16"/>
        <v>2012-1</v>
      </c>
      <c r="J58" s="1687" t="str">
        <f t="shared" si="16"/>
        <v>2011-4</v>
      </c>
      <c r="K58" s="1687" t="str">
        <f t="shared" si="16"/>
        <v>2011-3</v>
      </c>
      <c r="L58" s="1687" t="str">
        <f t="shared" si="16"/>
        <v>2011-2</v>
      </c>
      <c r="M58" s="1687" t="str">
        <f t="shared" si="16"/>
        <v>2011-1</v>
      </c>
      <c r="N58" s="1687" t="str">
        <f t="shared" si="16"/>
        <v>2010-4</v>
      </c>
      <c r="O58" s="1687" t="str">
        <f t="shared" si="16"/>
        <v>2010-3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43370</v>
      </c>
      <c r="D1" s="1000" t="str">
        <f>主表!A23</f>
        <v>建设期</v>
      </c>
      <c r="E1" s="1040">
        <f>主表!B23</f>
        <v>1</v>
      </c>
      <c r="F1" s="1000" t="s">
        <v>1522</v>
      </c>
      <c r="G1" s="1001">
        <f ca="1">INDIRECT("d"&amp;$K$1)/100</f>
        <v>4.3499999999999997E-2</v>
      </c>
      <c r="H1" s="1000" t="s">
        <v>1523</v>
      </c>
      <c r="I1" s="1001">
        <f ca="1">SUMIF(F4:F8,E1,G4:G8)/100</f>
        <v>1.4999999999999999E-2</v>
      </c>
      <c r="J1" s="1170">
        <f>IF(C1&gt;C14,0,MATCH(C1,C$14:C$59,-1))+IF(SUMIF(C14:C59,C1,D14:D59)=0,14,13)</f>
        <v>14</v>
      </c>
      <c r="K1" s="1170">
        <f ca="1">MATCH(E1,C4:C8,1)+IF(SUMIF(C4:C8,E1,D4:D8)=0,3,2)</f>
        <v>5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41506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0.06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20</v>
      </c>
      <c r="K2" s="1170">
        <f ca="1">MATCH(E2,C4:C8,1)+IF(SUMIF(C4:C8,E2,D4:D8)=0,3,2)</f>
        <v>5</v>
      </c>
      <c r="L2" s="1170">
        <f>IF(C2&gt;M14,0,MATCH(C2,M$14:M$52,-1))+IF(SUMIF(M14:M52,C2,N14:N52)=0,14,13)</f>
        <v>20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6.1500000000000006E-2</v>
      </c>
      <c r="H3" s="1051" t="s">
        <v>1523</v>
      </c>
      <c r="I3" s="1052">
        <f ca="1">SUMIF(F4:F8,E3,H4:H8)/100</f>
        <v>4.2500000000000003E-2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5.6</v>
      </c>
      <c r="F4" s="1037">
        <v>0.5</v>
      </c>
      <c r="G4" s="1038">
        <f ca="1">INDIRECT("p"&amp;$L$1)</f>
        <v>1.3</v>
      </c>
      <c r="H4" s="1038">
        <f ca="1">INDIRECT("p"&amp;$L$2)</f>
        <v>2.8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6</v>
      </c>
      <c r="F5" s="1007">
        <v>1</v>
      </c>
      <c r="G5" s="1039">
        <f ca="1">INDIRECT("q"&amp;$L$1)</f>
        <v>1.5</v>
      </c>
      <c r="H5" s="1039">
        <f ca="1">INDIRECT("q"&amp;$L$2)</f>
        <v>3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6.15</v>
      </c>
      <c r="F6" s="1007">
        <v>2</v>
      </c>
      <c r="G6" s="1039">
        <f ca="1">INDIRECT("r"&amp;$L$1)</f>
        <v>2.1</v>
      </c>
      <c r="H6" s="1039">
        <f ca="1">INDIRECT("r"&amp;$L$2)</f>
        <v>3.75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6.4</v>
      </c>
      <c r="F7" s="1007">
        <v>3</v>
      </c>
      <c r="G7" s="1039">
        <f ca="1">INDIRECT("s"&amp;$L$1)</f>
        <v>2.75</v>
      </c>
      <c r="H7" s="1039">
        <f ca="1">INDIRECT("s"&amp;$L$2)</f>
        <v>4.25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6.55</v>
      </c>
      <c r="F8" s="1007">
        <v>5</v>
      </c>
      <c r="G8" s="1039">
        <f ca="1">INDIRECT("t"&amp;$L$1)</f>
        <v>0</v>
      </c>
      <c r="H8" s="1039">
        <f ca="1">INDIRECT("t"&amp;$L$2)</f>
        <v>4.75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83" t="s">
        <v>1657</v>
      </c>
      <c r="H2" s="1883"/>
      <c r="I2" s="1883"/>
      <c r="J2" s="1883"/>
      <c r="K2" s="1883"/>
      <c r="L2" s="1883"/>
      <c r="N2" s="1878" t="s">
        <v>1658</v>
      </c>
      <c r="O2" s="1878"/>
      <c r="P2" s="1878"/>
      <c r="Q2" s="1878"/>
      <c r="R2" s="1690"/>
      <c r="S2" s="1878" t="s">
        <v>1659</v>
      </c>
      <c r="T2" s="1878"/>
      <c r="U2" s="1878"/>
      <c r="V2" s="1878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7" customFormat="1" ht="14.25">
      <c r="A4" s="1748" t="s">
        <v>1764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1767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1765</v>
      </c>
      <c r="Y6" s="1746"/>
      <c r="Z6" s="1746"/>
      <c r="AA6" s="1746"/>
    </row>
    <row r="7" spans="1:32" s="1551" customFormat="1" ht="13.5" thickBot="1">
      <c r="A7" s="1553" t="s">
        <v>1768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1766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1763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1760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1660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1661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280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79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279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6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269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6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278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7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277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5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276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6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275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6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274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7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273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5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272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6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271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6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270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7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1662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0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1663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1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1664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1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1665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2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1666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5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1667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6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1668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6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1669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7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1670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5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1671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6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1672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6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1673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7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1674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5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1675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6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1676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6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1677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7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1678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5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1679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6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1680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6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1681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7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1682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5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1683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6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1684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6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1685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7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1686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5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1687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6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1688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6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1689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7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1690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5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1691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6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1692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6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1693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7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1694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5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1695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6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1696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6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1697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7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1698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5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1699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6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1700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6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1701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7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1702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5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1703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6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1704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6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1705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7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1706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5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1707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6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1708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6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1709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7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1716</v>
      </c>
      <c r="G75" s="1683"/>
      <c r="N75" s="1683"/>
      <c r="S75" s="1683"/>
    </row>
    <row r="76" spans="1:32" s="1682" customFormat="1">
      <c r="A76" s="1682" t="s">
        <v>1717</v>
      </c>
      <c r="G76" s="1683"/>
      <c r="N76" s="1683"/>
      <c r="S76" s="1683"/>
    </row>
    <row r="77" spans="1:32" s="1682" customFormat="1">
      <c r="A77" s="1682" t="s">
        <v>1718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1719</v>
      </c>
      <c r="G78" s="1683"/>
      <c r="N78" s="1683"/>
      <c r="S78" s="1683"/>
    </row>
    <row r="85" spans="14:29" ht="13.5" thickBot="1"/>
    <row r="86" spans="14:29" ht="24">
      <c r="S86" s="1677" t="s">
        <v>1710</v>
      </c>
      <c r="T86" s="1602" t="s">
        <v>1711</v>
      </c>
      <c r="U86" s="1602" t="s">
        <v>1712</v>
      </c>
      <c r="V86" s="1602" t="s">
        <v>1713</v>
      </c>
      <c r="W86" s="1603" t="s">
        <v>1714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  <mergeCell ref="G65:G68"/>
    <mergeCell ref="G69:G72"/>
    <mergeCell ref="G41:G44"/>
    <mergeCell ref="G45:G48"/>
    <mergeCell ref="G49:G52"/>
    <mergeCell ref="G53:G56"/>
    <mergeCell ref="G57:G60"/>
    <mergeCell ref="G61:G64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1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47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111.21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43370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70.258399999999995</v>
      </c>
      <c r="C11" s="1695">
        <f ca="1">结果表!B18</f>
        <v>6318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111.21</v>
      </c>
      <c r="C14" s="1702">
        <f>主表!B6</f>
        <v>0</v>
      </c>
      <c r="D14" s="1702"/>
      <c r="E14" s="1702">
        <f>ROUND(D14*10000/B14,0)</f>
        <v>0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5" t="s">
        <v>1368</v>
      </c>
      <c r="B2" s="1755"/>
      <c r="C2" s="1755"/>
      <c r="D2" s="1755"/>
      <c r="E2" s="1755"/>
      <c r="F2" s="1755"/>
      <c r="G2" s="1755"/>
      <c r="H2" s="665"/>
      <c r="I2" s="227"/>
      <c r="X2" s="221"/>
      <c r="AG2" s="189"/>
    </row>
    <row r="3" spans="1:33" ht="13.5">
      <c r="A3" s="1756" t="s">
        <v>1369</v>
      </c>
      <c r="B3" s="1757"/>
      <c r="C3" s="1758"/>
      <c r="D3" s="1759" t="s">
        <v>1370</v>
      </c>
      <c r="E3" s="1757"/>
      <c r="F3" s="1757"/>
      <c r="G3" s="1760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61" t="s">
        <v>1371</v>
      </c>
      <c r="E4" s="1762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63" t="s">
        <v>1375</v>
      </c>
      <c r="B5" s="1764">
        <f>主表!F5</f>
        <v>1946</v>
      </c>
      <c r="C5" s="1765" t="s">
        <v>1376</v>
      </c>
      <c r="D5" s="1762" t="s">
        <v>1377</v>
      </c>
      <c r="E5" s="1766"/>
      <c r="F5" s="1336">
        <f>SUM(F6:F10)</f>
        <v>3376</v>
      </c>
      <c r="G5" s="1337" t="s">
        <v>1654</v>
      </c>
      <c r="H5" s="665"/>
      <c r="I5" s="227"/>
      <c r="X5" s="221"/>
      <c r="AG5" s="189"/>
    </row>
    <row r="6" spans="1:33" ht="27">
      <c r="A6" s="1763"/>
      <c r="B6" s="1764"/>
      <c r="C6" s="1765"/>
      <c r="D6" s="1767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63"/>
      <c r="B7" s="1764"/>
      <c r="C7" s="1765"/>
      <c r="D7" s="1767"/>
      <c r="E7" s="1336" t="s">
        <v>1380</v>
      </c>
      <c r="F7" s="1336">
        <f>主表!F15</f>
        <v>600</v>
      </c>
      <c r="G7" s="1337"/>
      <c r="H7" s="665"/>
      <c r="I7" s="227"/>
      <c r="X7" s="221"/>
      <c r="AG7" s="189"/>
    </row>
    <row r="8" spans="1:33" ht="13.5">
      <c r="A8" s="1763"/>
      <c r="B8" s="1764"/>
      <c r="C8" s="1765"/>
      <c r="D8" s="1768" t="s">
        <v>1399</v>
      </c>
      <c r="E8" s="1769"/>
      <c r="F8" s="1336">
        <f>主表!F16</f>
        <v>175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3"/>
      <c r="B9" s="1764"/>
      <c r="C9" s="1765"/>
      <c r="D9" s="1768" t="s">
        <v>1400</v>
      </c>
      <c r="E9" s="1769"/>
      <c r="F9" s="1336">
        <f>主表!F18</f>
        <v>0</v>
      </c>
      <c r="G9" s="1337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63"/>
      <c r="B10" s="1764"/>
      <c r="C10" s="1765"/>
      <c r="D10" s="1768" t="s">
        <v>1401</v>
      </c>
      <c r="E10" s="1769"/>
      <c r="F10" s="1336">
        <f>主表!F19</f>
        <v>291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39</v>
      </c>
      <c r="C11" s="1338" t="str">
        <f>"按前期开发成本的"&amp;TEXT(主表!G8,"0.0%")&amp;"计取"</f>
        <v>按前期开发成本的2.0%计取</v>
      </c>
      <c r="D11" s="1762" t="s">
        <v>1382</v>
      </c>
      <c r="E11" s="1766"/>
      <c r="F11" s="1336">
        <f>主表!F20</f>
        <v>68</v>
      </c>
      <c r="G11" s="1337" t="str">
        <f>"按房屋建设成本的"&amp;主表!G20&amp;"计取"</f>
        <v>按房屋建设成本的0.02计取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118</v>
      </c>
      <c r="C12" s="1339" t="str">
        <f ca="1">"前期开发期为"&amp;主表!B24&amp;"年，贷款利率为"&amp;TEXT(主表!G9,"0.00%")&amp;"，"&amp;主表!H9</f>
        <v>前期开发期为1年，贷款利率为6.00%，计息期为1年，单利计息</v>
      </c>
      <c r="D12" s="1762" t="s">
        <v>1384</v>
      </c>
      <c r="E12" s="1766"/>
      <c r="F12" s="1336">
        <f ca="1">主表!F21</f>
        <v>74</v>
      </c>
      <c r="G12" s="1337" t="str">
        <f ca="1">"房屋建设期为"&amp;主表!B23&amp;"年，贷款利率为"&amp;TEXT(主表!G21,"0.00%")&amp;"，"&amp;主表!H21</f>
        <v>房屋建设期为1年，贷款利率为4.35%，计息期为1年，复利计息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695</v>
      </c>
      <c r="C13" s="1339" t="str">
        <f>"按前期开发成本及其管理费用的"&amp;TEXT(主表!G10,"0%")&amp;"计取"</f>
        <v>按前期开发成本及其管理费用的35%计取</v>
      </c>
      <c r="D13" s="1762" t="s">
        <v>1385</v>
      </c>
      <c r="E13" s="1766"/>
      <c r="F13" s="1336">
        <f>主表!F22</f>
        <v>1205</v>
      </c>
      <c r="G13" s="1337" t="str">
        <f>"按房屋建设成本及其管理费用的"&amp;TEXT(主表!G22,"0%")&amp;"计取"</f>
        <v>按房屋建设成本及其管理费用的35%计取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2798</v>
      </c>
      <c r="C14" s="1339" t="s">
        <v>1387</v>
      </c>
      <c r="D14" s="1762" t="s">
        <v>1386</v>
      </c>
      <c r="E14" s="1766"/>
      <c r="F14" s="1336">
        <f ca="1">F5+F11+F12+F13</f>
        <v>4723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4">
        <f ca="1">主表!F24</f>
        <v>7521</v>
      </c>
      <c r="C15" s="1770"/>
      <c r="D15" s="1768" t="s">
        <v>1389</v>
      </c>
      <c r="E15" s="1769"/>
      <c r="F15" s="1769"/>
      <c r="G15" s="1771"/>
      <c r="H15" s="665"/>
      <c r="I15" s="227"/>
      <c r="X15" s="221"/>
      <c r="AG15" s="189"/>
    </row>
    <row r="16" spans="1:33" ht="27.75" thickBot="1">
      <c r="A16" s="1332" t="s">
        <v>1390</v>
      </c>
      <c r="B16" s="1764">
        <f ca="1">主表!F25</f>
        <v>83.641000000000005</v>
      </c>
      <c r="C16" s="1770"/>
      <c r="D16" s="1768" t="s">
        <v>1391</v>
      </c>
      <c r="E16" s="1769"/>
      <c r="F16" s="1769"/>
      <c r="G16" s="1771"/>
      <c r="H16" s="1341" t="str">
        <f ca="1">NUMBERSTRING(INT(B16*10000),2)&amp;"元整"</f>
        <v>捌拾叁万陆仟肆佰壹拾元整</v>
      </c>
      <c r="I16" s="1342"/>
      <c r="X16" s="221"/>
      <c r="AG16" s="189"/>
    </row>
    <row r="17" spans="1:33" ht="13.5">
      <c r="A17" s="1332" t="s">
        <v>1392</v>
      </c>
      <c r="B17" s="1777">
        <f>主表!F33</f>
        <v>0.84</v>
      </c>
      <c r="C17" s="1770"/>
      <c r="D17" s="1768" t="s">
        <v>1393</v>
      </c>
      <c r="E17" s="1769"/>
      <c r="F17" s="1769"/>
      <c r="G17" s="1771"/>
      <c r="H17" s="665"/>
      <c r="I17" s="227"/>
      <c r="X17" s="221"/>
      <c r="AG17" s="189"/>
    </row>
    <row r="18" spans="1:33" ht="27.75" thickBot="1">
      <c r="A18" s="1332" t="s">
        <v>1394</v>
      </c>
      <c r="B18" s="1764">
        <f ca="1">主表!F35</f>
        <v>6318</v>
      </c>
      <c r="C18" s="1770"/>
      <c r="D18" s="1768" t="s">
        <v>1395</v>
      </c>
      <c r="E18" s="1769"/>
      <c r="F18" s="1769"/>
      <c r="G18" s="1771"/>
      <c r="H18" s="663"/>
      <c r="I18" s="227"/>
      <c r="X18" s="221"/>
      <c r="AG18" s="189"/>
    </row>
    <row r="19" spans="1:33" ht="27.75" thickBot="1">
      <c r="A19" s="1340" t="s">
        <v>1396</v>
      </c>
      <c r="B19" s="1772">
        <f ca="1">主表!F36</f>
        <v>70.258399999999995</v>
      </c>
      <c r="C19" s="1773"/>
      <c r="D19" s="1774" t="s">
        <v>1397</v>
      </c>
      <c r="E19" s="1775"/>
      <c r="F19" s="1775"/>
      <c r="G19" s="1776"/>
      <c r="H19" s="1341" t="str">
        <f ca="1">NUMBERSTRING(INT(B19*10000),2)&amp;"元整"</f>
        <v>柒拾万贰仟伍佰捌拾肆元整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3" zoomScale="90" zoomScaleNormal="90" workbookViewId="0">
      <selection activeCell="H41" sqref="H41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83" t="s">
        <v>1288</v>
      </c>
      <c r="E2" s="1784"/>
      <c r="F2" s="1784"/>
      <c r="G2" s="1784"/>
      <c r="H2" s="1785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43370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11</v>
      </c>
    </row>
    <row r="4" spans="1:18" ht="15.75" customHeight="1">
      <c r="A4" s="1200" t="s">
        <v>1546</v>
      </c>
      <c r="B4" s="518">
        <v>41506</v>
      </c>
      <c r="C4" s="1198"/>
      <c r="D4" s="1206" t="s">
        <v>1289</v>
      </c>
      <c r="E4" s="1207" t="s">
        <v>1585</v>
      </c>
      <c r="F4" s="1208">
        <f ca="1">F5+F8+F9+F10</f>
        <v>2798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1946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/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3150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111.21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1204</v>
      </c>
      <c r="G7" s="1224"/>
      <c r="H7" s="1386" t="s">
        <v>1771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 t="e">
        <f>ROUND(B7/B6,2)</f>
        <v>#DIV/0!</v>
      </c>
      <c r="C8" s="1198"/>
      <c r="D8" s="1227">
        <v>2</v>
      </c>
      <c r="E8" s="1228" t="s">
        <v>1237</v>
      </c>
      <c r="F8" s="1229">
        <f>ROUND(F5*G8,0)</f>
        <v>39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1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118</v>
      </c>
      <c r="G9" s="1231">
        <f ca="1">存贷款利率!G2</f>
        <v>0.06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669</v>
      </c>
      <c r="C10" s="1198"/>
      <c r="D10" s="1236">
        <v>4</v>
      </c>
      <c r="E10" s="1237" t="s">
        <v>1239</v>
      </c>
      <c r="F10" s="1238">
        <f>ROUND((F5+F8)*G10,0)</f>
        <v>695</v>
      </c>
      <c r="G10" s="521">
        <v>0.35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4723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1769</v>
      </c>
      <c r="C12" s="1198"/>
      <c r="D12" s="1227">
        <v>1</v>
      </c>
      <c r="E12" s="1228" t="s">
        <v>1588</v>
      </c>
      <c r="F12" s="1229">
        <f>F13+F16+F17</f>
        <v>3376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50</v>
      </c>
      <c r="C13" s="1198"/>
      <c r="D13" s="1219" t="s">
        <v>1281</v>
      </c>
      <c r="E13" s="1228" t="s">
        <v>1243</v>
      </c>
      <c r="F13" s="1229">
        <f>F14+F15</f>
        <v>2910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42</v>
      </c>
      <c r="C15" s="1198"/>
      <c r="D15" s="1227" t="s">
        <v>1285</v>
      </c>
      <c r="E15" s="1228" t="s">
        <v>1245</v>
      </c>
      <c r="F15" s="522">
        <v>600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>
        <v>42</v>
      </c>
      <c r="C16" s="1198"/>
      <c r="D16" s="1219" t="s">
        <v>1282</v>
      </c>
      <c r="E16" s="1228" t="s">
        <v>1246</v>
      </c>
      <c r="F16" s="1053">
        <f>ROUND(F13*G16,0)</f>
        <v>175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291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0.94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>
        <v>0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291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1770</v>
      </c>
      <c r="C20" s="1198"/>
      <c r="D20" s="1227">
        <v>2</v>
      </c>
      <c r="E20" s="1228" t="s">
        <v>1237</v>
      </c>
      <c r="F20" s="1229">
        <f>ROUND(F12*G20,0)</f>
        <v>68</v>
      </c>
      <c r="G20" s="664">
        <f>G8</f>
        <v>0.02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74</v>
      </c>
      <c r="G21" s="1424">
        <f ca="1">存贷款利率!G1</f>
        <v>4.3499999999999997E-2</v>
      </c>
      <c r="H21" s="1232" t="str">
        <f>"计息期为"&amp;B23&amp;"年，"&amp;"复利计息"</f>
        <v>计息期为1年，复利计息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2007</v>
      </c>
      <c r="C22" s="1198"/>
      <c r="D22" s="1236">
        <v>4</v>
      </c>
      <c r="E22" s="1237" t="s">
        <v>1590</v>
      </c>
      <c r="F22" s="1238">
        <f>ROUND((F12+F20)*G22,0)</f>
        <v>1205</v>
      </c>
      <c r="G22" s="521">
        <f>G10</f>
        <v>0.35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办公用途25%-40%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1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7521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83.641000000000005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6" t="s">
        <v>1290</v>
      </c>
      <c r="E26" s="1787"/>
      <c r="F26" s="1787"/>
      <c r="G26" s="1787"/>
      <c r="H26" s="1788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0.82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0.85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85</v>
      </c>
      <c r="G30" s="1266">
        <f>IF(ISNUMBER(FIND("砖木",B20)),O30,SUMPRODUCT((N30:N32=E30)*(O29:R29=B20)*(O30:R32)))</f>
        <v>0.2</v>
      </c>
      <c r="H30" s="1267"/>
      <c r="I30" s="1778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85</v>
      </c>
      <c r="G31" s="1266">
        <f>IF(ISNUMBER(FIND("砖木",B20)),O31,SUMPRODUCT((N30:N32=E31)*(O29:R29=B20)*(O30:R32)))</f>
        <v>0.5</v>
      </c>
      <c r="H31" s="1267"/>
      <c r="I31" s="1778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85</v>
      </c>
      <c r="G32" s="1266">
        <f>IF(ISNUMBER(FIND("砖木",B20)),O32,SUMPRODUCT((N30:N32=E32)*(O29:R29=B20)*(O30:R32)))</f>
        <v>0.3</v>
      </c>
      <c r="H32" s="1267"/>
      <c r="I32" s="1778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0.84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6" t="s">
        <v>1293</v>
      </c>
      <c r="E34" s="1787"/>
      <c r="F34" s="1787"/>
      <c r="G34" s="1787"/>
      <c r="H34" s="1788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6318</v>
      </c>
      <c r="G35" s="1779" t="s">
        <v>1267</v>
      </c>
      <c r="H35" s="1780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70.258399999999995</v>
      </c>
      <c r="G36" s="1781" t="s">
        <v>1269</v>
      </c>
      <c r="H36" s="1782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2" zoomScale="80" zoomScaleNormal="80" zoomScaleSheetLayoutView="89" workbookViewId="0">
      <selection activeCell="G31" sqref="G31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111.21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 t="e">
        <f ca="1">C26</f>
        <v>#DIV/0!</v>
      </c>
      <c r="C2" s="686" t="s">
        <v>986</v>
      </c>
      <c r="D2" s="733" t="s">
        <v>989</v>
      </c>
      <c r="E2" s="734" t="str">
        <f>主表!B12</f>
        <v>办公/综合</v>
      </c>
      <c r="F2" s="733" t="s">
        <v>914</v>
      </c>
      <c r="G2" s="735" t="str">
        <f>主表!B10</f>
        <v>七级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 t="e">
        <f>IF(F3="容积率",主表!B8,主表!B9)</f>
        <v>#DIV/0!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9"/>
      <c r="B4" s="1790"/>
      <c r="C4" s="1790"/>
      <c r="D4" s="1791"/>
      <c r="E4" s="1791"/>
      <c r="F4" s="1791"/>
      <c r="G4" s="1791"/>
      <c r="H4" s="1791"/>
      <c r="I4" s="1791"/>
      <c r="J4" s="1792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3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4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4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4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4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3" t="str">
        <f>IF(E2="住宅/居住",2,"")</f>
        <v/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5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5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6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3">
        <f>IF(E2="办公/综合",2,IF(E2="工业",2,IF(E2="住宅/居住",3,IF(E2="商业",IF(C8="不临58条商业街",2,3)))))</f>
        <v>2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4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7.4999999999999997E-2</v>
      </c>
      <c r="N17" s="625">
        <f ca="1">ROUND($E$20*(1+N16),3)</f>
        <v>7.1999999999999995E-2</v>
      </c>
      <c r="O17" s="625">
        <f ca="1">ROUND($E$20*(1+O16),3)</f>
        <v>6.9000000000000006E-2</v>
      </c>
      <c r="P17" s="965">
        <f ca="1">ROUND($E$20*(1+P16),3)</f>
        <v>6.6000000000000003E-2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1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ROUND(SUMIF(地价!B3:F3,E2,地价!B24:F24),0)</f>
        <v>258</v>
      </c>
      <c r="G19" s="1508" t="s">
        <v>266</v>
      </c>
      <c r="H19" s="1349">
        <f>主表!B4</f>
        <v>41506</v>
      </c>
      <c r="I19" s="1633">
        <f>ROUND(SUMPRODUCT((地价!A9:A24=YEAR(H19)&amp;"-"&amp;ROUNDUP(MONTH(H19)/3,0))*(地价!B3:F3=E2)*(地价!B9:F24)),0)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0.97629999999999995</v>
      </c>
      <c r="D20" s="1509" t="s">
        <v>939</v>
      </c>
      <c r="E20" s="1510">
        <f ca="1">INDIRECT("'存贷款利率'!e"&amp;存贷款利率!$K$4)/100</f>
        <v>0.06</v>
      </c>
      <c r="F20" s="1507" t="s">
        <v>940</v>
      </c>
      <c r="G20" s="1511">
        <f ca="1">SUMIF(M15:P15,E2,M17:P17)</f>
        <v>7.1999999999999995E-2</v>
      </c>
      <c r="H20" s="1512" t="s">
        <v>1653</v>
      </c>
      <c r="I20" s="1054">
        <f>IF(H20="剩余土地使用年限",主表!B15,主表!B16)</f>
        <v>42</v>
      </c>
      <c r="J20" s="390">
        <f>IF(E2="住宅/居住",70,IF(E2="商业",40,50))</f>
        <v>50</v>
      </c>
      <c r="K20" s="784"/>
      <c r="L20" s="803" t="s">
        <v>281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 t="e">
        <f>IF(B21="容积率修正",IF(G3&lt;=10,D22,J22),C23)</f>
        <v>#DIV/0!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 t="e">
        <f>IF(E22=G22,F22,IF(G3&lt;=10,ROUND(F22+(H22-F22)*(G3-E22)/(G22-E22),4),"——"))</f>
        <v>#DIV/0!</v>
      </c>
      <c r="E22" s="1519" t="e">
        <f>ROUNDDOWN(G3,1)</f>
        <v>#DIV/0!</v>
      </c>
      <c r="F22" s="152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8" t="e">
        <f>ROUNDUP(G3,1)</f>
        <v>#DIV/0!</v>
      </c>
      <c r="H22" s="150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7" t="s">
        <v>284</v>
      </c>
      <c r="J22" s="392" t="e">
        <f>IF(G3&gt;10,D114,"——")</f>
        <v>#DIV/0!</v>
      </c>
      <c r="K22" s="784"/>
      <c r="L22" s="803" t="s">
        <v>1317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 t="e">
        <f ca="1">E29+SUM(E33:E39)</f>
        <v>#DIV/0!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 t="e">
        <f ca="1">ROUND(C5*C18*C19*C20*C21*C24,0)</f>
        <v>#DIV/0!</v>
      </c>
      <c r="D29" s="624"/>
      <c r="E29" s="400" t="e">
        <f ca="1">ROUND(C29*D29,0)</f>
        <v>#DIV/0!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 t="e">
        <f ca="1">ROUND(IF(E2="工业",C29*M39,C29*M38),0)</f>
        <v>#DIV/0!</v>
      </c>
      <c r="D30" s="626"/>
      <c r="E30" s="400" t="e">
        <f ca="1">ROUND(C30*D30,0)</f>
        <v>#DIV/0!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8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9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9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0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7" t="s">
        <v>1167</v>
      </c>
      <c r="B91" s="1797"/>
      <c r="C91" s="1797"/>
      <c r="D91" s="1797"/>
      <c r="E91" s="1797"/>
      <c r="F91" s="1797"/>
      <c r="G91" s="1797"/>
      <c r="H91" s="1797"/>
      <c r="I91" s="1797"/>
      <c r="J91" s="1797"/>
      <c r="K91" s="672"/>
      <c r="L91" s="672"/>
      <c r="M91" s="672"/>
      <c r="N91" s="672"/>
    </row>
    <row r="92" spans="1:37">
      <c r="A92" s="1802" t="s">
        <v>1168</v>
      </c>
      <c r="B92" s="1802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803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4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4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4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4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4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4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5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03" t="s">
        <v>1495</v>
      </c>
      <c r="B102" s="973" t="s">
        <v>1498</v>
      </c>
      <c r="C102" s="974" t="e">
        <f>$G$3</f>
        <v>#DIV/0!</v>
      </c>
      <c r="D102" s="974" t="e">
        <f t="shared" ref="D102:N102" si="25">$G$3</f>
        <v>#DIV/0!</v>
      </c>
      <c r="E102" s="974" t="e">
        <f t="shared" si="25"/>
        <v>#DIV/0!</v>
      </c>
      <c r="F102" s="974" t="e">
        <f t="shared" si="25"/>
        <v>#DIV/0!</v>
      </c>
      <c r="G102" s="974" t="e">
        <f t="shared" si="25"/>
        <v>#DIV/0!</v>
      </c>
      <c r="H102" s="974" t="e">
        <f t="shared" si="25"/>
        <v>#DIV/0!</v>
      </c>
      <c r="I102" s="974" t="e">
        <f t="shared" si="25"/>
        <v>#DIV/0!</v>
      </c>
      <c r="J102" s="974" t="e">
        <f t="shared" si="25"/>
        <v>#DIV/0!</v>
      </c>
      <c r="K102" s="974" t="e">
        <f t="shared" si="25"/>
        <v>#DIV/0!</v>
      </c>
      <c r="L102" s="974" t="e">
        <f t="shared" si="25"/>
        <v>#DIV/0!</v>
      </c>
      <c r="M102" s="974" t="e">
        <f t="shared" si="25"/>
        <v>#DIV/0!</v>
      </c>
      <c r="N102" s="974" t="e">
        <f t="shared" si="25"/>
        <v>#DIV/0!</v>
      </c>
    </row>
    <row r="103" spans="1:14" ht="12.75">
      <c r="A103" s="1804"/>
      <c r="B103" s="969">
        <v>1</v>
      </c>
      <c r="C103" s="970" t="e">
        <f>1.9362/C102</f>
        <v>#DIV/0!</v>
      </c>
      <c r="D103" s="970" t="e">
        <f>1.9362/D102</f>
        <v>#DIV/0!</v>
      </c>
      <c r="E103" s="970" t="e">
        <f>1.8629/E102</f>
        <v>#DIV/0!</v>
      </c>
      <c r="F103" s="970" t="e">
        <f>1.8629/F102</f>
        <v>#DIV/0!</v>
      </c>
      <c r="G103" s="970" t="e">
        <f>1.8629/G102</f>
        <v>#DIV/0!</v>
      </c>
      <c r="H103" s="970" t="e">
        <f>1.8629/H102</f>
        <v>#DIV/0!</v>
      </c>
      <c r="I103" s="970" t="e">
        <f>1.8629/I102</f>
        <v>#DIV/0!</v>
      </c>
      <c r="J103" s="970" t="e">
        <f>1.942/J102</f>
        <v>#DIV/0!</v>
      </c>
      <c r="K103" s="970" t="e">
        <f>1.942/K102</f>
        <v>#DIV/0!</v>
      </c>
      <c r="L103" s="970" t="e">
        <f>1.942/L102</f>
        <v>#DIV/0!</v>
      </c>
      <c r="M103" s="970" t="e">
        <f>1.942/M102</f>
        <v>#DIV/0!</v>
      </c>
      <c r="N103" s="970" t="e">
        <f>1.942/N102</f>
        <v>#DIV/0!</v>
      </c>
    </row>
    <row r="104" spans="1:14" ht="12.75">
      <c r="A104" s="1804"/>
      <c r="B104" s="969">
        <v>2</v>
      </c>
      <c r="C104" s="970" t="e">
        <f>1.4198/C102</f>
        <v>#DIV/0!</v>
      </c>
      <c r="D104" s="970" t="e">
        <f>1.4198/D102</f>
        <v>#DIV/0!</v>
      </c>
      <c r="E104" s="970" t="e">
        <f>1.3372/E102</f>
        <v>#DIV/0!</v>
      </c>
      <c r="F104" s="970" t="e">
        <f>1.3372/F102</f>
        <v>#DIV/0!</v>
      </c>
      <c r="G104" s="970" t="e">
        <f>1.3372/G102</f>
        <v>#DIV/0!</v>
      </c>
      <c r="H104" s="970" t="e">
        <f>1.3372/H102</f>
        <v>#DIV/0!</v>
      </c>
      <c r="I104" s="970" t="e">
        <f>1.3372/I102</f>
        <v>#DIV/0!</v>
      </c>
      <c r="J104" s="970" t="e">
        <f>1.2799/J102</f>
        <v>#DIV/0!</v>
      </c>
      <c r="K104" s="970" t="e">
        <f>1.2799/K102</f>
        <v>#DIV/0!</v>
      </c>
      <c r="L104" s="970" t="e">
        <f>1.2799/L102</f>
        <v>#DIV/0!</v>
      </c>
      <c r="M104" s="970" t="e">
        <f>1.2799/M102</f>
        <v>#DIV/0!</v>
      </c>
      <c r="N104" s="970" t="e">
        <f>1.2799/N102</f>
        <v>#DIV/0!</v>
      </c>
    </row>
    <row r="105" spans="1:14" ht="12.75">
      <c r="A105" s="1804"/>
      <c r="B105" s="969">
        <v>3</v>
      </c>
      <c r="C105" s="970" t="e">
        <f>1.1594/C102</f>
        <v>#DIV/0!</v>
      </c>
      <c r="D105" s="970" t="e">
        <f>1.1594/D102</f>
        <v>#DIV/0!</v>
      </c>
      <c r="E105" s="970" t="e">
        <f>1.0788/E102</f>
        <v>#DIV/0!</v>
      </c>
      <c r="F105" s="970" t="e">
        <f>1.0788/F102</f>
        <v>#DIV/0!</v>
      </c>
      <c r="G105" s="970" t="e">
        <f>1.0788/G102</f>
        <v>#DIV/0!</v>
      </c>
      <c r="H105" s="970" t="e">
        <f>1.0788/H102</f>
        <v>#DIV/0!</v>
      </c>
      <c r="I105" s="970" t="e">
        <f>1.0788/I102</f>
        <v>#DIV/0!</v>
      </c>
      <c r="J105" s="970" t="e">
        <f>1.0072/J102</f>
        <v>#DIV/0!</v>
      </c>
      <c r="K105" s="970" t="e">
        <f>1.0072/K102</f>
        <v>#DIV/0!</v>
      </c>
      <c r="L105" s="970" t="e">
        <f>1.0072/L102</f>
        <v>#DIV/0!</v>
      </c>
      <c r="M105" s="970" t="e">
        <f>1.0072/M102</f>
        <v>#DIV/0!</v>
      </c>
      <c r="N105" s="970" t="e">
        <f>1.0072/N102</f>
        <v>#DIV/0!</v>
      </c>
    </row>
    <row r="106" spans="1:14" ht="12.75">
      <c r="A106" s="1804"/>
      <c r="B106" s="969">
        <v>4</v>
      </c>
      <c r="C106" s="970" t="e">
        <f>0.9622/C102</f>
        <v>#DIV/0!</v>
      </c>
      <c r="D106" s="970" t="e">
        <f>0.9622/D102</f>
        <v>#DIV/0!</v>
      </c>
      <c r="E106" s="970" t="e">
        <f>0.8656/E102</f>
        <v>#DIV/0!</v>
      </c>
      <c r="F106" s="970" t="e">
        <f>0.8656/F102</f>
        <v>#DIV/0!</v>
      </c>
      <c r="G106" s="970" t="e">
        <f>0.8656/G102</f>
        <v>#DIV/0!</v>
      </c>
      <c r="H106" s="970" t="e">
        <f>0.8656/H102</f>
        <v>#DIV/0!</v>
      </c>
      <c r="I106" s="970" t="e">
        <f>0.8656/I102</f>
        <v>#DIV/0!</v>
      </c>
      <c r="J106" s="970" t="e">
        <f>0.7525/J102</f>
        <v>#DIV/0!</v>
      </c>
      <c r="K106" s="970" t="e">
        <f>0.7525/K102</f>
        <v>#DIV/0!</v>
      </c>
      <c r="L106" s="970" t="e">
        <f>0.7525/L102</f>
        <v>#DIV/0!</v>
      </c>
      <c r="M106" s="970" t="e">
        <f>0.7525/M102</f>
        <v>#DIV/0!</v>
      </c>
      <c r="N106" s="970" t="e">
        <f>0.7525/N102</f>
        <v>#DIV/0!</v>
      </c>
    </row>
    <row r="107" spans="1:14" ht="12.75">
      <c r="A107" s="1804"/>
      <c r="B107" s="969">
        <v>5</v>
      </c>
      <c r="C107" s="970" t="e">
        <f>0.8417/C102</f>
        <v>#DIV/0!</v>
      </c>
      <c r="D107" s="970" t="e">
        <f>0.8417/D102</f>
        <v>#DIV/0!</v>
      </c>
      <c r="E107" s="970" t="e">
        <f>0.7371/E102</f>
        <v>#DIV/0!</v>
      </c>
      <c r="F107" s="970" t="e">
        <f>0.7371/F102</f>
        <v>#DIV/0!</v>
      </c>
      <c r="G107" s="970" t="e">
        <f>0.7371/G102</f>
        <v>#DIV/0!</v>
      </c>
      <c r="H107" s="970" t="e">
        <f>0.7371/H102</f>
        <v>#DIV/0!</v>
      </c>
      <c r="I107" s="970" t="e">
        <f>0.7371/I102</f>
        <v>#DIV/0!</v>
      </c>
      <c r="J107" s="970" t="e">
        <f>0.5659/J102</f>
        <v>#DIV/0!</v>
      </c>
      <c r="K107" s="970" t="e">
        <f>0.5659/K102</f>
        <v>#DIV/0!</v>
      </c>
      <c r="L107" s="970" t="e">
        <f>0.5659/L102</f>
        <v>#DIV/0!</v>
      </c>
      <c r="M107" s="970" t="e">
        <f>0.5659/M102</f>
        <v>#DIV/0!</v>
      </c>
      <c r="N107" s="970" t="e">
        <f>0.5659/N102</f>
        <v>#DIV/0!</v>
      </c>
    </row>
    <row r="108" spans="1:14" ht="12.75">
      <c r="A108" s="1804"/>
      <c r="B108" s="969">
        <v>6</v>
      </c>
      <c r="C108" s="970" t="e">
        <f>0.7608/C102</f>
        <v>#DIV/0!</v>
      </c>
      <c r="D108" s="970" t="e">
        <f>0.7608/D102</f>
        <v>#DIV/0!</v>
      </c>
      <c r="E108" s="970" t="e">
        <f>0.6482/E102</f>
        <v>#DIV/0!</v>
      </c>
      <c r="F108" s="970" t="e">
        <f>0.6482/F102</f>
        <v>#DIV/0!</v>
      </c>
      <c r="G108" s="970" t="e">
        <f>0.6482/G102</f>
        <v>#DIV/0!</v>
      </c>
      <c r="H108" s="970" t="e">
        <f>0.6482/H102</f>
        <v>#DIV/0!</v>
      </c>
      <c r="I108" s="970" t="e">
        <f>0.6482/I102</f>
        <v>#DIV/0!</v>
      </c>
      <c r="J108" s="970" t="e">
        <f>0.4525/J102</f>
        <v>#DIV/0!</v>
      </c>
      <c r="K108" s="970" t="e">
        <f>0.4525/K102</f>
        <v>#DIV/0!</v>
      </c>
      <c r="L108" s="970" t="e">
        <f>0.4525/L102</f>
        <v>#DIV/0!</v>
      </c>
      <c r="M108" s="970" t="e">
        <f>0.4525/M102</f>
        <v>#DIV/0!</v>
      </c>
      <c r="N108" s="970" t="e">
        <f>0.4525/N102</f>
        <v>#DIV/0!</v>
      </c>
    </row>
    <row r="109" spans="1:14" ht="12.75">
      <c r="A109" s="1804"/>
      <c r="B109" s="1806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5"/>
      <c r="B110" s="1807"/>
      <c r="C110" s="972" t="e">
        <f>(-0.163*(C109^2)-0.59*C109+7617)*(10^(-4))/C102</f>
        <v>#DIV/0!</v>
      </c>
      <c r="D110" s="972" t="e">
        <f>(-0.163*(D109^2)-0.59*D109+7617)*(10^(-4))/D102</f>
        <v>#DIV/0!</v>
      </c>
      <c r="E110" s="972" t="e">
        <f>(-0.161*(E109^2)-7.509*E109+6533)*(10^(-4))/E102</f>
        <v>#DIV/0!</v>
      </c>
      <c r="F110" s="972" t="e">
        <f>(-0.161*(F109^2)-7.509*F109+6533)*(10^(-4))/F102</f>
        <v>#DIV/0!</v>
      </c>
      <c r="G110" s="972" t="e">
        <f>(-0.161*(G109^2)-7.509*G109+6533)*(10^(-4))/G102</f>
        <v>#DIV/0!</v>
      </c>
      <c r="H110" s="972" t="e">
        <f>(-0.161*(H109^2)-7.509*H109+6533)*(10^(-4))/H102</f>
        <v>#DIV/0!</v>
      </c>
      <c r="I110" s="972" t="e">
        <f>(-0.161*(I109^2)-7.509*I109+6533)*(10^(-4))/I102</f>
        <v>#DIV/0!</v>
      </c>
      <c r="J110" s="972" t="e">
        <f>(-0.214*(J109^2)-21.991*J109+4665)*(10^(-4))/J102</f>
        <v>#DIV/0!</v>
      </c>
      <c r="K110" s="972" t="e">
        <f>(-0.214*(K109^2)-21.991*K109+4665)*(10^(-4))/K102</f>
        <v>#DIV/0!</v>
      </c>
      <c r="L110" s="972" t="e">
        <f>(-0.214*(L109^2)-21.991*L109+4665)*(10^(-4))/L102</f>
        <v>#DIV/0!</v>
      </c>
      <c r="M110" s="972" t="e">
        <f>(-0.214*(M109^2)-21.991*M109+4665)*(10^(-4))/M102</f>
        <v>#DIV/0!</v>
      </c>
      <c r="N110" s="972" t="e">
        <f>(-0.214*(N109^2)-21.991*N109+4665)*(10^(-4))/N102</f>
        <v>#DIV/0!</v>
      </c>
    </row>
    <row r="111" spans="1:14">
      <c r="A111" s="1801" t="s">
        <v>1183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 t="e">
        <f>G3</f>
        <v>#DIV/0!</v>
      </c>
      <c r="C114" s="955" t="s">
        <v>1482</v>
      </c>
      <c r="D114" s="351" t="e">
        <f>SUMPRODUCT((A116:A119=F114)*(B115:M115=H114)*B116:M119)</f>
        <v>#DIV/0!</v>
      </c>
      <c r="E114" s="735" t="s">
        <v>1168</v>
      </c>
      <c r="F114" s="956" t="str">
        <f>E2</f>
        <v>办公/综合</v>
      </c>
      <c r="G114" s="735" t="s">
        <v>1185</v>
      </c>
      <c r="H114" s="956" t="str">
        <f>G2</f>
        <v>七级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7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7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8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990</v>
      </c>
      <c r="B1" s="1808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292</v>
      </c>
      <c r="B1" s="1808"/>
      <c r="C1" s="1808"/>
      <c r="D1" s="1808"/>
      <c r="E1" s="1808"/>
      <c r="F1" s="1808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9" t="s">
        <v>305</v>
      </c>
      <c r="B2" s="1809"/>
      <c r="C2" s="1809"/>
      <c r="D2" s="1809"/>
      <c r="E2" s="1809"/>
      <c r="F2" s="1809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0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1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2018-09-27T09:32:19Z</dcterms:modified>
</cp:coreProperties>
</file>