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富力中心ABS\结果\最终\"/>
    </mc:Choice>
  </mc:AlternateContent>
  <bookViews>
    <workbookView xWindow="480" yWindow="210" windowWidth="12120" windowHeight="7620" tabRatio="920"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地下仓储" sheetId="68" r:id="rId19"/>
    <sheet name="成本法 (元)" sheetId="69" state="hidden" r:id="rId20"/>
    <sheet name="成本法-地下车库" sheetId="78"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修正" sheetId="43"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'比较法-商业'!$A$1:$K$49</definedName>
    <definedName name="_xlnm.Print_Area" localSheetId="18">'成本法-地下仓储'!$A$1:$G$52</definedName>
    <definedName name="_xlnm.Print_Area" localSheetId="20">'成本法-地下车库'!$A$1:$G$52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3" i="77" l="1"/>
  <c r="H14" i="74" l="1"/>
  <c r="G16" i="74"/>
  <c r="G15" i="74"/>
  <c r="C16" i="74" l="1"/>
  <c r="H42" i="77" l="1"/>
  <c r="G41" i="77"/>
  <c r="K32" i="77"/>
  <c r="K33" i="77"/>
  <c r="K34" i="77"/>
  <c r="K35" i="77"/>
  <c r="K36" i="77"/>
  <c r="K37" i="77"/>
  <c r="K38" i="77"/>
  <c r="K39" i="77"/>
  <c r="K31" i="77"/>
  <c r="I32" i="77"/>
  <c r="I33" i="77"/>
  <c r="I34" i="77"/>
  <c r="I35" i="77"/>
  <c r="I36" i="77"/>
  <c r="I37" i="77"/>
  <c r="I38" i="77"/>
  <c r="I39" i="77"/>
  <c r="I31" i="77"/>
  <c r="J26" i="77" l="1"/>
  <c r="H26" i="77"/>
  <c r="C34" i="77"/>
  <c r="N7" i="1" l="1"/>
  <c r="E47" i="33" l="1"/>
  <c r="N14" i="1" l="1"/>
  <c r="N8" i="1"/>
  <c r="D39" i="43"/>
  <c r="D38" i="43"/>
  <c r="B16" i="74" l="1"/>
  <c r="B15" i="74"/>
  <c r="G47" i="33" l="1"/>
  <c r="I47" i="33"/>
  <c r="C33" i="33"/>
  <c r="C36" i="33"/>
  <c r="F38" i="78" l="1"/>
  <c r="E37" i="78"/>
  <c r="F36" i="78"/>
  <c r="F35" i="78"/>
  <c r="F21" i="78"/>
  <c r="C40" i="78" s="1"/>
  <c r="C21" i="78"/>
  <c r="F20" i="78"/>
  <c r="E10" i="78"/>
  <c r="E9" i="78"/>
  <c r="F7" i="78"/>
  <c r="E2" i="78"/>
  <c r="C19" i="78" l="1"/>
  <c r="G21" i="6" l="1"/>
  <c r="G20" i="6"/>
  <c r="F19" i="6"/>
  <c r="L3" i="71" l="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3" i="76"/>
  <c r="B13" i="76"/>
  <c r="E10" i="76"/>
  <c r="B10" i="76"/>
  <c r="E12" i="76"/>
  <c r="B12" i="76"/>
  <c r="B7" i="76"/>
  <c r="B9" i="76"/>
  <c r="B8" i="76"/>
  <c r="E9" i="76"/>
  <c r="E7" i="76"/>
  <c r="B11" i="76"/>
  <c r="E8" i="76"/>
  <c r="E11"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D3" i="73"/>
  <c r="F5" i="73"/>
  <c r="F3" i="73"/>
  <c r="I1" i="73" l="1"/>
  <c r="B39" i="1" s="1"/>
  <c r="D5" i="73"/>
  <c r="D6"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D5"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7" i="31"/>
  <c r="S45"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F36" i="39"/>
  <c r="S36" i="39" s="1"/>
  <c r="H36" i="39"/>
  <c r="AB36" i="39" s="1"/>
  <c r="F35" i="39"/>
  <c r="AA35" i="39" s="1"/>
  <c r="J36" i="39"/>
  <c r="AC36" i="39" s="1"/>
  <c r="U9" i="39"/>
  <c r="W31" i="37"/>
  <c r="F39" i="37"/>
  <c r="S39" i="37" s="1"/>
  <c r="F29" i="36"/>
  <c r="AA29" i="36" s="1"/>
  <c r="F16" i="36"/>
  <c r="AA16" i="36" s="1"/>
  <c r="AA31" i="36"/>
  <c r="W31" i="36"/>
  <c r="U31" i="36"/>
  <c r="H22" i="35"/>
  <c r="AB22" i="35" s="1"/>
  <c r="W28" i="35"/>
  <c r="U31" i="35"/>
  <c r="W22" i="35"/>
  <c r="F36" i="34"/>
  <c r="J35" i="34"/>
  <c r="W9" i="34"/>
  <c r="H39" i="33"/>
  <c r="AB39" i="33" s="1"/>
  <c r="U33" i="33"/>
  <c r="S40" i="33"/>
  <c r="H39" i="37"/>
  <c r="AB39" i="37" s="1"/>
  <c r="S27" i="35"/>
  <c r="F11" i="40"/>
  <c r="AA11" i="40" s="1"/>
  <c r="H11" i="40"/>
  <c r="AB11" i="40" s="1"/>
  <c r="AC9" i="40"/>
  <c r="S34" i="40"/>
  <c r="U34" i="40"/>
  <c r="U40"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S40" i="39"/>
  <c r="H11" i="21"/>
  <c r="U11" i="21" s="1"/>
  <c r="J11" i="21"/>
  <c r="W11" i="21" s="1"/>
  <c r="H37" i="40"/>
  <c r="U37" i="40" s="1"/>
  <c r="H36" i="40"/>
  <c r="AB36" i="40" s="1"/>
  <c r="F35" i="40"/>
  <c r="AA35" i="40" s="1"/>
  <c r="H23" i="40"/>
  <c r="AB23" i="40" s="1"/>
  <c r="H17" i="40"/>
  <c r="U17" i="40" s="1"/>
  <c r="J15" i="40"/>
  <c r="W15" i="40" s="1"/>
  <c r="J11" i="40"/>
  <c r="J34" i="36"/>
  <c r="U30" i="36"/>
  <c r="J30" i="35"/>
  <c r="W30" i="35" s="1"/>
  <c r="H30" i="35"/>
  <c r="AB30" i="35" s="1"/>
  <c r="F22" i="35"/>
  <c r="AA22" i="35" s="1"/>
  <c r="H10" i="35"/>
  <c r="U10" i="35" s="1"/>
  <c r="F33" i="36"/>
  <c r="AA33" i="36" s="1"/>
  <c r="H16" i="36"/>
  <c r="AB16" i="36" s="1"/>
  <c r="J29" i="36"/>
  <c r="AC29" i="36" s="1"/>
  <c r="F12" i="36"/>
  <c r="AA12" i="36" s="1"/>
  <c r="F34" i="36"/>
  <c r="S34" i="36" s="1"/>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J28" i="21"/>
  <c r="J44" i="21"/>
  <c r="J46" i="2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F27" i="37"/>
  <c r="AA27" i="37" s="1"/>
  <c r="F13" i="39"/>
  <c r="J13" i="39"/>
  <c r="W13" i="39" s="1"/>
  <c r="H13" i="39"/>
  <c r="H14" i="40"/>
  <c r="AB14" i="40" s="1"/>
  <c r="J14" i="40"/>
  <c r="W14" i="40" s="1"/>
  <c r="F14" i="40"/>
  <c r="AA14" i="40" s="1"/>
  <c r="J14" i="37"/>
  <c r="J27" i="37"/>
  <c r="AC27" i="37" s="1"/>
  <c r="AA14" i="33"/>
  <c r="J36" i="37"/>
  <c r="AC36" i="37" s="1"/>
  <c r="G105" i="37"/>
  <c r="J10" i="36"/>
  <c r="AC10" i="36" s="1"/>
  <c r="AC13" i="36"/>
  <c r="S11" i="36"/>
  <c r="AA14" i="34"/>
  <c r="U31" i="33"/>
  <c r="S44" i="34"/>
  <c r="BA586" i="3"/>
  <c r="BA585" i="3"/>
  <c r="F17" i="21"/>
  <c r="AA17" i="21" s="1"/>
  <c r="H17" i="21"/>
  <c r="AB17" i="21" s="1"/>
  <c r="F15" i="21"/>
  <c r="S15" i="21" s="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AZ508" i="3" s="1"/>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AC32" i="36"/>
  <c r="W23" i="35"/>
  <c r="AB28" i="37"/>
  <c r="U39" i="37"/>
  <c r="AC8" i="37"/>
  <c r="W47" i="34"/>
  <c r="W37" i="34"/>
  <c r="AC36" i="34"/>
  <c r="AA13" i="33"/>
  <c r="AC45" i="33"/>
  <c r="U11" i="33"/>
  <c r="U19" i="21"/>
  <c r="U26"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W23" i="39"/>
  <c r="AC43" i="39"/>
  <c r="W4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47" i="3"/>
  <c r="AZ93" i="3"/>
  <c r="AZ101"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78" i="3"/>
  <c r="AZ194"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AZ343" i="3" s="1"/>
  <c r="G344" i="3"/>
  <c r="G348" i="3"/>
  <c r="G355" i="3"/>
  <c r="AZ214" i="3"/>
  <c r="G342" i="3"/>
  <c r="BL345" i="3"/>
  <c r="G346" i="3"/>
  <c r="BL349" i="3"/>
  <c r="BL352" i="3"/>
  <c r="G353" i="3"/>
  <c r="BA357" i="3"/>
  <c r="AZ357" i="3" s="1"/>
  <c r="BL358" i="3"/>
  <c r="G359" i="3"/>
  <c r="BA361" i="3"/>
  <c r="BL362" i="3"/>
  <c r="G363" i="3"/>
  <c r="BA365" i="3"/>
  <c r="BL366" i="3"/>
  <c r="AZ366" i="3" s="1"/>
  <c r="G367" i="3"/>
  <c r="BA369" i="3"/>
  <c r="AZ369" i="3"/>
  <c r="BL370" i="3"/>
  <c r="G371" i="3"/>
  <c r="BA373" i="3"/>
  <c r="AZ373" i="3"/>
  <c r="BL374" i="3"/>
  <c r="AZ374" i="3"/>
  <c r="G375" i="3"/>
  <c r="BA377" i="3"/>
  <c r="AZ377" i="3" s="1"/>
  <c r="AZ237" i="3"/>
  <c r="AZ257" i="3"/>
  <c r="AZ261" i="3"/>
  <c r="AZ265" i="3"/>
  <c r="AZ370" i="3"/>
  <c r="BA379" i="3"/>
  <c r="AZ379" i="3" s="1"/>
  <c r="BL380" i="3"/>
  <c r="G381" i="3"/>
  <c r="BA383" i="3"/>
  <c r="BL384" i="3"/>
  <c r="AZ384" i="3" s="1"/>
  <c r="G385" i="3"/>
  <c r="BA387" i="3"/>
  <c r="AZ387" i="3" s="1"/>
  <c r="BL388" i="3"/>
  <c r="G389" i="3"/>
  <c r="BA391" i="3"/>
  <c r="AZ391" i="3" s="1"/>
  <c r="BL392" i="3"/>
  <c r="G393" i="3"/>
  <c r="AZ263" i="3"/>
  <c r="BO5" i="3"/>
  <c r="AZ309" i="3"/>
  <c r="AZ317" i="3"/>
  <c r="AZ325" i="3"/>
  <c r="AC5" i="3"/>
  <c r="AZ506" i="3"/>
  <c r="AZ496" i="3"/>
  <c r="G548" i="3"/>
  <c r="G538" i="3"/>
  <c r="G520" i="3"/>
  <c r="G502" i="3"/>
  <c r="BS5" i="3"/>
  <c r="BN5" i="3"/>
  <c r="BK5" i="3"/>
  <c r="BI5" i="3"/>
  <c r="BG5" i="3"/>
  <c r="BE5" i="3"/>
  <c r="BC5" i="3"/>
  <c r="BA17" i="3"/>
  <c r="AZ350" i="3"/>
  <c r="AZ360" i="3"/>
  <c r="BB5" i="3"/>
  <c r="E8" i="6" s="1"/>
  <c r="F27" i="6" s="1"/>
  <c r="BR5" i="3"/>
  <c r="AZ380" i="3"/>
  <c r="AZ394" i="3"/>
  <c r="AZ499" i="3"/>
  <c r="BL493" i="3"/>
  <c r="AZ493" i="3" s="1"/>
  <c r="AZ382" i="3"/>
  <c r="U36" i="40"/>
  <c r="N4" i="43"/>
  <c r="F36" i="43"/>
  <c r="F81" i="43"/>
  <c r="H83" i="43" s="1"/>
  <c r="H113" i="43"/>
  <c r="F48" i="43"/>
  <c r="H52" i="43" s="1"/>
  <c r="G52" i="43" s="1"/>
  <c r="K52" i="43" s="1"/>
  <c r="J52" i="43" s="1"/>
  <c r="D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5" i="3"/>
  <c r="AZ256" i="3"/>
  <c r="AZ259" i="3"/>
  <c r="AZ130" i="3"/>
  <c r="AZ45" i="3"/>
  <c r="AZ50" i="3"/>
  <c r="AZ86" i="3"/>
  <c r="AZ94" i="3"/>
  <c r="H74" i="43"/>
  <c r="H49" i="43"/>
  <c r="G49" i="43" s="1"/>
  <c r="K49" i="43" s="1"/>
  <c r="J49" i="43" s="1"/>
  <c r="D49" i="43" s="1"/>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H103" i="9" l="1"/>
  <c r="D8" i="53" s="1"/>
  <c r="BJ5" i="3"/>
  <c r="BF5" i="3"/>
  <c r="E15" i="6" s="1"/>
  <c r="M49" i="43"/>
  <c r="N49" i="43" s="1"/>
  <c r="M52" i="43"/>
  <c r="N52" i="43" s="1"/>
  <c r="BL22" i="3"/>
  <c r="W34" i="36"/>
  <c r="AC34" i="36"/>
  <c r="BL587" i="3"/>
  <c r="AZ587" i="3" s="1"/>
  <c r="F12" i="21"/>
  <c r="H12" i="21"/>
  <c r="F28" i="21"/>
  <c r="AA28" i="21" s="1"/>
  <c r="H28" i="21"/>
  <c r="AB28" i="21" s="1"/>
  <c r="H30" i="21"/>
  <c r="U30" i="21" s="1"/>
  <c r="F30" i="21"/>
  <c r="S30" i="21" s="1"/>
  <c r="H44" i="21"/>
  <c r="U44" i="21" s="1"/>
  <c r="F44" i="21"/>
  <c r="AA44" i="21" s="1"/>
  <c r="B70" i="43"/>
  <c r="C15" i="39"/>
  <c r="F9" i="33"/>
  <c r="AA34" i="34"/>
  <c r="S34" i="34"/>
  <c r="J27" i="34"/>
  <c r="F27" i="34"/>
  <c r="AA27" i="34" s="1"/>
  <c r="F34" i="35"/>
  <c r="H23" i="35"/>
  <c r="F23" i="35"/>
  <c r="AA23" i="35" s="1"/>
  <c r="J9" i="36"/>
  <c r="AC9" i="36" s="1"/>
  <c r="AA10" i="36"/>
  <c r="S10" i="36"/>
  <c r="J12" i="36"/>
  <c r="H12" i="36"/>
  <c r="U12" i="36" s="1"/>
  <c r="J23" i="36"/>
  <c r="AC23" i="36" s="1"/>
  <c r="F23" i="36"/>
  <c r="AA23" i="36" s="1"/>
  <c r="H26" i="37"/>
  <c r="J26" i="37"/>
  <c r="H25" i="37"/>
  <c r="F25" i="37"/>
  <c r="AA25" i="37" s="1"/>
  <c r="U8" i="39"/>
  <c r="AB8" i="39"/>
  <c r="H45" i="39"/>
  <c r="F45" i="39"/>
  <c r="S45" i="39" s="1"/>
  <c r="H82" i="43"/>
  <c r="H48" i="43"/>
  <c r="G48" i="43" s="1"/>
  <c r="H50" i="43"/>
  <c r="G50" i="43" s="1"/>
  <c r="H75" i="43"/>
  <c r="AZ361" i="3"/>
  <c r="AZ345" i="3"/>
  <c r="AZ390" i="3"/>
  <c r="AZ356" i="3"/>
  <c r="AZ347" i="3"/>
  <c r="AZ344" i="3"/>
  <c r="AZ337" i="3"/>
  <c r="S14" i="40"/>
  <c r="W40" i="37"/>
  <c r="AC31" i="33"/>
  <c r="AB13" i="34"/>
  <c r="U14" i="40"/>
  <c r="AA41" i="34"/>
  <c r="AZ501" i="3"/>
  <c r="AZ520" i="3"/>
  <c r="AZ555" i="3"/>
  <c r="AZ565" i="3"/>
  <c r="AZ494" i="3"/>
  <c r="AZ518" i="3"/>
  <c r="AZ530" i="3"/>
  <c r="AZ538" i="3"/>
  <c r="AZ552" i="3"/>
  <c r="AZ560" i="3"/>
  <c r="AZ568" i="3"/>
  <c r="AZ576" i="3"/>
  <c r="AZ584" i="3"/>
  <c r="W11" i="36"/>
  <c r="W31" i="34"/>
  <c r="AB11" i="35"/>
  <c r="AA44" i="33"/>
  <c r="AB17" i="34"/>
  <c r="W11" i="40"/>
  <c r="AC11" i="40"/>
  <c r="H28" i="33"/>
  <c r="U28" i="33" s="1"/>
  <c r="J28" i="33"/>
  <c r="W28" i="33" s="1"/>
  <c r="J26" i="33"/>
  <c r="AC26" i="33" s="1"/>
  <c r="F26" i="33"/>
  <c r="AA26" i="33" s="1"/>
  <c r="U12" i="35"/>
  <c r="AB12" i="35"/>
  <c r="AC34" i="35"/>
  <c r="W34" i="35"/>
  <c r="J12" i="34"/>
  <c r="F12" i="34"/>
  <c r="S12" i="34" s="1"/>
  <c r="J12" i="35"/>
  <c r="W12" i="35" s="1"/>
  <c r="F12" i="35"/>
  <c r="AB34" i="35"/>
  <c r="U34" i="35"/>
  <c r="H36" i="35"/>
  <c r="AB36" i="35" s="1"/>
  <c r="J36" i="35"/>
  <c r="AC36" i="35" s="1"/>
  <c r="W27" i="35"/>
  <c r="AC27" i="35"/>
  <c r="AC28" i="36"/>
  <c r="W28" i="36"/>
  <c r="J24" i="36"/>
  <c r="F24" i="36"/>
  <c r="AA24" i="36" s="1"/>
  <c r="H33" i="36"/>
  <c r="J33" i="36"/>
  <c r="H44" i="39"/>
  <c r="F44" i="39"/>
  <c r="J44" i="39"/>
  <c r="AC44" i="39" s="1"/>
  <c r="J37" i="39"/>
  <c r="F37" i="39"/>
  <c r="AA37" i="39" s="1"/>
  <c r="AC8" i="40"/>
  <c r="W8" i="40"/>
  <c r="AB9" i="40"/>
  <c r="U9" i="40"/>
  <c r="W38" i="34"/>
  <c r="AC38" i="34"/>
  <c r="AB34" i="37"/>
  <c r="U34" i="37"/>
  <c r="AC30" i="36"/>
  <c r="W30" i="36"/>
  <c r="BL585" i="3"/>
  <c r="G578" i="3"/>
  <c r="G574" i="3"/>
  <c r="G17" i="3"/>
  <c r="G16"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G311" i="3"/>
  <c r="BA319" i="3"/>
  <c r="AZ319" i="3" s="1"/>
  <c r="BA323" i="3"/>
  <c r="AZ323" i="3" s="1"/>
  <c r="BA332" i="3"/>
  <c r="AZ332" i="3" s="1"/>
  <c r="BL332" i="3"/>
  <c r="G339" i="3"/>
  <c r="G345" i="3"/>
  <c r="BL346" i="3"/>
  <c r="AZ346" i="3" s="1"/>
  <c r="BA352" i="3"/>
  <c r="AZ352" i="3" s="1"/>
  <c r="BL354" i="3"/>
  <c r="BA358" i="3"/>
  <c r="AZ358" i="3" s="1"/>
  <c r="BL365" i="3"/>
  <c r="AZ365" i="3" s="1"/>
  <c r="G366" i="3"/>
  <c r="BA367" i="3"/>
  <c r="BL367" i="3"/>
  <c r="G374" i="3"/>
  <c r="G380" i="3"/>
  <c r="G382" i="3"/>
  <c r="BL383" i="3"/>
  <c r="AZ383" i="3" s="1"/>
  <c r="G384" i="3"/>
  <c r="G387" i="3"/>
  <c r="BA388" i="3"/>
  <c r="AZ388" i="3" s="1"/>
  <c r="BA392" i="3"/>
  <c r="AZ392" i="3" s="1"/>
  <c r="G395" i="3"/>
  <c r="G397" i="3"/>
  <c r="BA208" i="3"/>
  <c r="AZ208" i="3" s="1"/>
  <c r="BL208" i="3"/>
  <c r="BL210" i="3"/>
  <c r="G211" i="3"/>
  <c r="G214" i="3"/>
  <c r="G216" i="3"/>
  <c r="BA217" i="3"/>
  <c r="AZ217" i="3" s="1"/>
  <c r="BL217" i="3"/>
  <c r="BL219" i="3"/>
  <c r="G220" i="3"/>
  <c r="BL222" i="3"/>
  <c r="G223" i="3"/>
  <c r="BA224" i="3"/>
  <c r="BL224" i="3"/>
  <c r="BA225" i="3"/>
  <c r="AZ225" i="3" s="1"/>
  <c r="BA227" i="3"/>
  <c r="BL227" i="3"/>
  <c r="BA228" i="3"/>
  <c r="AZ228" i="3" s="1"/>
  <c r="BA229" i="3"/>
  <c r="AZ229" i="3" s="1"/>
  <c r="BL231" i="3"/>
  <c r="G232" i="3"/>
  <c r="BL233" i="3"/>
  <c r="G234" i="3"/>
  <c r="G235" i="3"/>
  <c r="G239" i="3"/>
  <c r="BA240" i="3"/>
  <c r="AZ240" i="3" s="1"/>
  <c r="BA241" i="3"/>
  <c r="AZ241" i="3" s="1"/>
  <c r="BA243" i="3"/>
  <c r="BL243" i="3"/>
  <c r="BA244" i="3"/>
  <c r="AZ244" i="3" s="1"/>
  <c r="BA245" i="3"/>
  <c r="AZ245" i="3" s="1"/>
  <c r="BL247" i="3"/>
  <c r="G248" i="3"/>
  <c r="BL249" i="3"/>
  <c r="G250" i="3"/>
  <c r="G252" i="3"/>
  <c r="BL253" i="3"/>
  <c r="G254" i="3"/>
  <c r="G259" i="3"/>
  <c r="G263" i="3"/>
  <c r="G267" i="3"/>
  <c r="BL268" i="3"/>
  <c r="G269"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BA20" i="3"/>
  <c r="G21" i="3"/>
  <c r="BA23" i="3"/>
  <c r="BA24" i="3"/>
  <c r="AZ24" i="3" s="1"/>
  <c r="BL24" i="3"/>
  <c r="BA25" i="3"/>
  <c r="AZ25" i="3" s="1"/>
  <c r="BL27" i="3"/>
  <c r="G28" i="3"/>
  <c r="BL29" i="3"/>
  <c r="G30" i="3"/>
  <c r="BA31" i="3"/>
  <c r="G32" i="3"/>
  <c r="BA33" i="3"/>
  <c r="BA34" i="3"/>
  <c r="AZ34" i="3" s="1"/>
  <c r="BA38" i="3"/>
  <c r="BA39" i="3"/>
  <c r="AZ39" i="3" s="1"/>
  <c r="BL39" i="3"/>
  <c r="BA40" i="3"/>
  <c r="AZ40" i="3" s="1"/>
  <c r="BL42" i="3"/>
  <c r="G100" i="4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42" i="33"/>
  <c r="AA42" i="33" s="1"/>
  <c r="H42" i="33"/>
  <c r="AB42" i="33" s="1"/>
  <c r="AC14" i="37"/>
  <c r="W14" i="37"/>
  <c r="S14" i="37"/>
  <c r="AA14" i="37"/>
  <c r="W13" i="40"/>
  <c r="AC13" i="40"/>
  <c r="S13" i="35"/>
  <c r="AA13" i="35"/>
  <c r="AB46" i="33"/>
  <c r="U46" i="33"/>
  <c r="U11" i="36"/>
  <c r="AB11" i="36"/>
  <c r="AC11" i="35"/>
  <c r="W11" i="35"/>
  <c r="W30" i="34"/>
  <c r="AC30" i="34"/>
  <c r="AA45" i="33"/>
  <c r="S45" i="33"/>
  <c r="AC29" i="33"/>
  <c r="W29" i="33"/>
  <c r="U37" i="34"/>
  <c r="AB37" i="34"/>
  <c r="AB33" i="35"/>
  <c r="U33" i="35"/>
  <c r="AB14" i="37"/>
  <c r="U14" i="37"/>
  <c r="AB26" i="37"/>
  <c r="U26" i="37"/>
  <c r="AC31" i="40"/>
  <c r="W31" i="40"/>
  <c r="AA38" i="40"/>
  <c r="S38" i="40"/>
  <c r="W40" i="40"/>
  <c r="AC40" i="40"/>
  <c r="AZ310" i="3"/>
  <c r="AZ329" i="3"/>
  <c r="AZ321" i="3"/>
  <c r="AZ362" i="3"/>
  <c r="AB33" i="40"/>
  <c r="W44" i="33"/>
  <c r="U35" i="35"/>
  <c r="S25" i="21"/>
  <c r="AA25" i="21"/>
  <c r="AZ521" i="3"/>
  <c r="AZ497" i="3"/>
  <c r="AZ581" i="3"/>
  <c r="U13" i="33"/>
  <c r="AB45" i="33"/>
  <c r="AB46" i="34"/>
  <c r="AB30" i="21"/>
  <c r="U31" i="34"/>
  <c r="W46" i="21"/>
  <c r="AC46" i="21"/>
  <c r="AC44" i="21"/>
  <c r="W44" i="21"/>
  <c r="W28" i="21"/>
  <c r="AC28" i="21"/>
  <c r="S28" i="34"/>
  <c r="AB33" i="37"/>
  <c r="U33" i="37"/>
  <c r="S29" i="35"/>
  <c r="AA29" i="35"/>
  <c r="U27" i="37"/>
  <c r="AB27" i="37"/>
  <c r="AC32" i="40"/>
  <c r="W32" i="40"/>
  <c r="AZ308" i="3"/>
  <c r="AZ569" i="3"/>
  <c r="AZ577" i="3"/>
  <c r="AZ557" i="3"/>
  <c r="AZ516" i="3"/>
  <c r="AZ524" i="3"/>
  <c r="AZ532" i="3"/>
  <c r="AZ536" i="3"/>
  <c r="AZ544" i="3"/>
  <c r="AZ554" i="3"/>
  <c r="AZ558" i="3"/>
  <c r="AZ582" i="3"/>
  <c r="S35" i="39"/>
  <c r="W44" i="39"/>
  <c r="F46" i="21"/>
  <c r="AA46" i="21" s="1"/>
  <c r="J30" i="21"/>
  <c r="AC30" i="21" s="1"/>
  <c r="H14" i="21"/>
  <c r="U14" i="21" s="1"/>
  <c r="U23" i="40"/>
  <c r="U8" i="33"/>
  <c r="W8" i="34"/>
  <c r="S35" i="34"/>
  <c r="AA39" i="37"/>
  <c r="U8" i="35"/>
  <c r="AC16" i="36"/>
  <c r="AB12" i="36"/>
  <c r="AA12" i="34"/>
  <c r="AB12" i="33"/>
  <c r="C25" i="39"/>
  <c r="S38" i="39"/>
  <c r="AA9" i="40"/>
  <c r="AB39" i="40"/>
  <c r="W33" i="33"/>
  <c r="U34" i="34"/>
  <c r="S31" i="35"/>
  <c r="W36" i="35"/>
  <c r="S30" i="36"/>
  <c r="U9" i="36"/>
  <c r="W8" i="36"/>
  <c r="U30" i="37"/>
  <c r="W40" i="39"/>
  <c r="J35" i="39"/>
  <c r="J12" i="21"/>
  <c r="AC12" i="21" s="1"/>
  <c r="AC31" i="35"/>
  <c r="J25" i="37"/>
  <c r="H38" i="40"/>
  <c r="F40"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477" i="3"/>
  <c r="AZ481" i="3"/>
  <c r="G331" i="3"/>
  <c r="BA333" i="3"/>
  <c r="AZ333" i="3" s="1"/>
  <c r="G343" i="3"/>
  <c r="BA348" i="3"/>
  <c r="AZ348" i="3" s="1"/>
  <c r="BA349" i="3"/>
  <c r="AZ349" i="3" s="1"/>
  <c r="G351" i="3"/>
  <c r="BA354" i="3"/>
  <c r="AZ354" i="3" s="1"/>
  <c r="G364"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L586" i="3"/>
  <c r="AZ585" i="3"/>
  <c r="BP5" i="3"/>
  <c r="BT5" i="3"/>
  <c r="G28" i="6" s="1"/>
  <c r="BQ5" i="3"/>
  <c r="F28" i="6" s="1"/>
  <c r="G41" i="78"/>
  <c r="G22" i="78"/>
  <c r="BM5" i="3"/>
  <c r="F29" i="6" s="1"/>
  <c r="AZ399" i="3"/>
  <c r="AZ403" i="3"/>
  <c r="AZ405" i="3"/>
  <c r="AZ406" i="3"/>
  <c r="AZ415" i="3"/>
  <c r="AZ419" i="3"/>
  <c r="AZ421" i="3"/>
  <c r="AZ422" i="3"/>
  <c r="AZ425" i="3"/>
  <c r="AZ431" i="3"/>
  <c r="AZ435" i="3"/>
  <c r="AZ438" i="3"/>
  <c r="AZ442" i="3"/>
  <c r="AZ451" i="3"/>
  <c r="AZ453" i="3"/>
  <c r="AZ454" i="3"/>
  <c r="AZ458" i="3"/>
  <c r="AZ468" i="3"/>
  <c r="AZ469"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BA368" i="3"/>
  <c r="AZ368" i="3" s="1"/>
  <c r="G378" i="3"/>
  <c r="BA222" i="3"/>
  <c r="AZ222" i="3" s="1"/>
  <c r="BA223" i="3"/>
  <c r="AZ223" i="3" s="1"/>
  <c r="G226" i="3"/>
  <c r="BL226" i="3"/>
  <c r="G229" i="3"/>
  <c r="G230" i="3"/>
  <c r="BL230" i="3"/>
  <c r="BA231" i="3"/>
  <c r="AZ231" i="3" s="1"/>
  <c r="BA232" i="3"/>
  <c r="AZ232" i="3" s="1"/>
  <c r="BA233" i="3"/>
  <c r="AZ233" i="3" s="1"/>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AZ226" i="3"/>
  <c r="AZ230" i="3"/>
  <c r="BL234" i="3"/>
  <c r="G237" i="3"/>
  <c r="G238" i="3"/>
  <c r="BL238" i="3"/>
  <c r="BA239" i="3"/>
  <c r="AZ239" i="3" s="1"/>
  <c r="AZ242" i="3"/>
  <c r="AZ246" i="3"/>
  <c r="AZ258" i="3"/>
  <c r="AZ76"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9" i="3"/>
  <c r="BA30" i="3"/>
  <c r="BA43" i="3"/>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AZ95" i="3"/>
  <c r="F3" i="35"/>
  <c r="G1" i="78"/>
  <c r="U43" i="33"/>
  <c r="J41" i="33"/>
  <c r="J39" i="33"/>
  <c r="AC39" i="33" s="1"/>
  <c r="W40" i="33"/>
  <c r="S41" i="33"/>
  <c r="S38" i="33"/>
  <c r="U35" i="33"/>
  <c r="AB26" i="33"/>
  <c r="G20" i="43"/>
  <c r="C20" i="43" s="1"/>
  <c r="AZ16" i="3"/>
  <c r="G18" i="3"/>
  <c r="BL19" i="3"/>
  <c r="BL21" i="3"/>
  <c r="G22" i="3"/>
  <c r="G23" i="3"/>
  <c r="G26" i="3"/>
  <c r="G27" i="3"/>
  <c r="BL28" i="3"/>
  <c r="G29" i="3"/>
  <c r="BL30" i="3"/>
  <c r="BL32" i="3"/>
  <c r="G33" i="3"/>
  <c r="G35" i="3"/>
  <c r="G36" i="3"/>
  <c r="G37" i="3"/>
  <c r="G38" i="3"/>
  <c r="G41" i="3"/>
  <c r="G42" i="3"/>
  <c r="BL44" i="3"/>
  <c r="BA21" i="3"/>
  <c r="AZ21" i="3" s="1"/>
  <c r="BA22" i="3"/>
  <c r="AZ22" i="3" s="1"/>
  <c r="BA32" i="3"/>
  <c r="BA36" i="3"/>
  <c r="AZ36" i="3" s="1"/>
  <c r="BA37" i="3"/>
  <c r="AZ37" i="3" s="1"/>
  <c r="BA42" i="3"/>
  <c r="AZ42" i="3" s="1"/>
  <c r="BA18" i="3"/>
  <c r="AZ18" i="3" s="1"/>
  <c r="BL20" i="3"/>
  <c r="AZ20" i="3" s="1"/>
  <c r="BL23" i="3"/>
  <c r="AZ23" i="3" s="1"/>
  <c r="BL26" i="3"/>
  <c r="BA27" i="3"/>
  <c r="BA28" i="3"/>
  <c r="BA29" i="3"/>
  <c r="AZ29" i="3" s="1"/>
  <c r="BL31" i="3"/>
  <c r="AZ31" i="3" s="1"/>
  <c r="BL33" i="3"/>
  <c r="AZ33" i="3" s="1"/>
  <c r="BL35" i="3"/>
  <c r="BL38" i="3"/>
  <c r="AZ38" i="3" s="1"/>
  <c r="BL41" i="3"/>
  <c r="BL43" i="3"/>
  <c r="AZ43" i="3" s="1"/>
  <c r="BA44" i="3"/>
  <c r="AZ44" i="3" s="1"/>
  <c r="BL15" i="3"/>
  <c r="AZ15" i="3" s="1"/>
  <c r="A15" i="62"/>
  <c r="B61" i="72" s="1"/>
  <c r="D93" i="9"/>
  <c r="E12" i="6"/>
  <c r="E57" i="40" s="1"/>
  <c r="K6" i="1"/>
  <c r="G29" i="6"/>
  <c r="E29" i="6" s="1"/>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N103"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AR12" i="1"/>
  <c r="AQ12" i="1"/>
  <c r="T12"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53" i="43"/>
  <c r="G53" i="43" s="1"/>
  <c r="H54" i="43"/>
  <c r="G54" i="43" s="1"/>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G55" i="43" s="1"/>
  <c r="H51" i="43"/>
  <c r="G51" i="43" s="1"/>
  <c r="H56" i="43"/>
  <c r="G56" i="43" s="1"/>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15"/>
  <c r="F16" i="67"/>
  <c r="F38" i="15"/>
  <c r="F6" i="15"/>
  <c r="F9" i="67"/>
  <c r="F7" i="15"/>
  <c r="F42" i="67"/>
  <c r="M24" i="15"/>
  <c r="F38" i="67"/>
  <c r="C76" i="67"/>
  <c r="F26" i="15"/>
  <c r="M8" i="15"/>
  <c r="F16" i="15"/>
  <c r="F37" i="67"/>
  <c r="M26" i="67"/>
  <c r="M28" i="15"/>
  <c r="M6" i="15"/>
  <c r="M6" i="67"/>
  <c r="L48" i="15"/>
  <c r="J15" i="15"/>
  <c r="F6" i="67"/>
  <c r="M24" i="67"/>
  <c r="F13" i="15"/>
  <c r="F13" i="67"/>
  <c r="M22" i="15"/>
  <c r="M23" i="15"/>
  <c r="M9" i="67"/>
  <c r="F7" i="67"/>
  <c r="M28" i="67"/>
  <c r="F9" i="15"/>
  <c r="F26" i="67"/>
  <c r="M9" i="15"/>
  <c r="M29" i="15"/>
  <c r="M8" i="67"/>
  <c r="L47" i="15"/>
  <c r="J15" i="67"/>
  <c r="F36" i="67"/>
  <c r="F8" i="67"/>
  <c r="L48" i="67"/>
  <c r="F40" i="15"/>
  <c r="F40" i="67"/>
  <c r="G1" i="73"/>
  <c r="F42" i="15"/>
  <c r="M23" i="67"/>
  <c r="F8" i="15"/>
  <c r="L47" i="67"/>
  <c r="M26" i="15"/>
  <c r="F43" i="67"/>
  <c r="M29" i="67"/>
  <c r="F43" i="15"/>
  <c r="C76" i="15"/>
  <c r="F37" i="15"/>
  <c r="M22" i="67"/>
  <c r="W26" i="33" l="1"/>
  <c r="S26" i="33"/>
  <c r="E60" i="40"/>
  <c r="E65" i="39"/>
  <c r="AR10" i="1"/>
  <c r="K104" i="43"/>
  <c r="E14" i="6"/>
  <c r="E64" i="39" s="1"/>
  <c r="E11" i="6"/>
  <c r="E61" i="39" s="1"/>
  <c r="E10" i="6"/>
  <c r="E13" i="6"/>
  <c r="E58" i="40" s="1"/>
  <c r="AZ27" i="3"/>
  <c r="E56" i="40"/>
  <c r="K53" i="43"/>
  <c r="J53" i="43" s="1"/>
  <c r="D53" i="43" s="1"/>
  <c r="M53" i="43"/>
  <c r="N53" i="43" s="1"/>
  <c r="K51" i="43"/>
  <c r="J51" i="43" s="1"/>
  <c r="D51" i="43" s="1"/>
  <c r="M51" i="43"/>
  <c r="N51" i="43" s="1"/>
  <c r="M54" i="43"/>
  <c r="N54" i="43" s="1"/>
  <c r="K54" i="43"/>
  <c r="J54" i="43" s="1"/>
  <c r="D54" i="43" s="1"/>
  <c r="K50" i="43"/>
  <c r="J50" i="43" s="1"/>
  <c r="D50" i="43" s="1"/>
  <c r="M50" i="43"/>
  <c r="N50" i="43" s="1"/>
  <c r="K56" i="43"/>
  <c r="J56" i="43" s="1"/>
  <c r="D56" i="43" s="1"/>
  <c r="M56" i="43"/>
  <c r="N56" i="43" s="1"/>
  <c r="K55" i="43"/>
  <c r="J55" i="43" s="1"/>
  <c r="D55" i="43" s="1"/>
  <c r="M55" i="43"/>
  <c r="N55" i="43" s="1"/>
  <c r="K48" i="43"/>
  <c r="J48" i="43" s="1"/>
  <c r="D48" i="43" s="1"/>
  <c r="M48" i="43"/>
  <c r="N48" i="43" s="1"/>
  <c r="J32" i="33"/>
  <c r="W32" i="33" s="1"/>
  <c r="N109" i="43"/>
  <c r="J103" i="43"/>
  <c r="G5" i="3"/>
  <c r="B3" i="3" s="1"/>
  <c r="K109" i="43"/>
  <c r="J109" i="43"/>
  <c r="N104" i="43"/>
  <c r="K106" i="43"/>
  <c r="G103" i="43"/>
  <c r="K107" i="43"/>
  <c r="N106" i="43"/>
  <c r="G109" i="43"/>
  <c r="T10" i="1"/>
  <c r="N107" i="43"/>
  <c r="J106" i="43"/>
  <c r="K105" i="43"/>
  <c r="G106" i="43"/>
  <c r="G104" i="43"/>
  <c r="G107" i="43"/>
  <c r="K102" i="43"/>
  <c r="J102" i="43"/>
  <c r="J107" i="43"/>
  <c r="N105" i="43"/>
  <c r="G102" i="43"/>
  <c r="J105" i="43"/>
  <c r="AZ30" i="3"/>
  <c r="G30" i="6"/>
  <c r="G31" i="6" s="1"/>
  <c r="E28" i="6"/>
  <c r="K20" i="6" s="1"/>
  <c r="F30" i="6"/>
  <c r="F31" i="6" s="1"/>
  <c r="AB44" i="39"/>
  <c r="U44" i="39"/>
  <c r="AC24" i="36"/>
  <c r="W24" i="36"/>
  <c r="W12" i="34"/>
  <c r="AC12" i="34"/>
  <c r="AC26" i="37"/>
  <c r="W26" i="37"/>
  <c r="U23" i="35"/>
  <c r="AB23" i="35"/>
  <c r="AA9" i="33"/>
  <c r="S9" i="33"/>
  <c r="S12" i="21"/>
  <c r="AA12" i="21"/>
  <c r="AZ28" i="3"/>
  <c r="AZ72" i="3"/>
  <c r="AZ70" i="3"/>
  <c r="AZ66" i="3"/>
  <c r="AZ186" i="3"/>
  <c r="AZ161" i="3"/>
  <c r="AZ122" i="3"/>
  <c r="AZ300" i="3"/>
  <c r="AZ287" i="3"/>
  <c r="AZ277" i="3"/>
  <c r="AZ243" i="3"/>
  <c r="AZ227" i="3"/>
  <c r="AZ461" i="3"/>
  <c r="AC37" i="39"/>
  <c r="W37" i="39"/>
  <c r="AA44" i="39"/>
  <c r="S44" i="39"/>
  <c r="W33" i="36"/>
  <c r="AC33" i="36"/>
  <c r="S12" i="35"/>
  <c r="AA12" i="35"/>
  <c r="U45" i="39"/>
  <c r="AB45" i="39"/>
  <c r="U25" i="37"/>
  <c r="AB25" i="37"/>
  <c r="W12" i="36"/>
  <c r="AC12" i="36"/>
  <c r="AA34" i="35"/>
  <c r="S34" i="35"/>
  <c r="AB12" i="21"/>
  <c r="U12" i="21"/>
  <c r="AA40" i="40"/>
  <c r="S40" i="40"/>
  <c r="AC25" i="37"/>
  <c r="W25" i="37"/>
  <c r="F53" i="9"/>
  <c r="F30" i="78"/>
  <c r="AB38" i="40"/>
  <c r="U38" i="40"/>
  <c r="AC35" i="39"/>
  <c r="W35" i="39"/>
  <c r="C30" i="78"/>
  <c r="C48" i="78"/>
  <c r="W41" i="33"/>
  <c r="AC41" i="33"/>
  <c r="W39" i="33"/>
  <c r="G101" i="33"/>
  <c r="H101" i="33" s="1"/>
  <c r="I101" i="33" s="1"/>
  <c r="J101" i="33" s="1"/>
  <c r="K101" i="33" s="1"/>
  <c r="L101" i="33" s="1"/>
  <c r="M101" i="33" s="1"/>
  <c r="H32" i="33"/>
  <c r="F32" i="33"/>
  <c r="C4" i="4"/>
  <c r="B4" i="62" s="1"/>
  <c r="B71" i="72" s="1"/>
  <c r="AZ32" i="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C30" i="69"/>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S22" i="6"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2"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15"/>
  <c r="F31" i="15"/>
  <c r="F59" i="67"/>
  <c r="F31" i="67"/>
  <c r="C36" i="78"/>
  <c r="C17" i="15"/>
  <c r="F27" i="78"/>
  <c r="D9" i="68"/>
  <c r="C16" i="67"/>
  <c r="C16" i="15"/>
  <c r="D9" i="78"/>
  <c r="E69" i="3" l="1"/>
  <c r="AT6" i="3"/>
  <c r="E302" i="3"/>
  <c r="E535" i="3"/>
  <c r="E503" i="3"/>
  <c r="E550" i="3"/>
  <c r="E17" i="3"/>
  <c r="E445" i="3"/>
  <c r="E361" i="3"/>
  <c r="E260" i="3"/>
  <c r="E213" i="3"/>
  <c r="E172" i="3"/>
  <c r="E183" i="3"/>
  <c r="E395" i="3"/>
  <c r="E565" i="3"/>
  <c r="E563" i="3"/>
  <c r="E528" i="3"/>
  <c r="E415" i="3"/>
  <c r="E304" i="3"/>
  <c r="E278" i="3"/>
  <c r="E261" i="3"/>
  <c r="E114" i="3"/>
  <c r="E237" i="3"/>
  <c r="K25" i="6"/>
  <c r="M25" i="6" s="1"/>
  <c r="I25" i="6" s="1"/>
  <c r="S25" i="6" s="1"/>
  <c r="K21" i="6"/>
  <c r="S8" i="1" s="1"/>
  <c r="K14" i="1"/>
  <c r="M14" i="1" s="1"/>
  <c r="O14" i="1" s="1"/>
  <c r="P14" i="1" s="1"/>
  <c r="K23" i="6"/>
  <c r="M23" i="6" s="1"/>
  <c r="I23" i="6" s="1"/>
  <c r="S23" i="6" s="1"/>
  <c r="K19" i="6"/>
  <c r="S6" i="1" s="1"/>
  <c r="AQ6" i="1" s="1"/>
  <c r="K26" i="6"/>
  <c r="M26" i="6" s="1"/>
  <c r="I26" i="6" s="1"/>
  <c r="S26" i="6" s="1"/>
  <c r="K24" i="6"/>
  <c r="M24" i="6" s="1"/>
  <c r="I24" i="6" s="1"/>
  <c r="S24" i="6" s="1"/>
  <c r="AZ5" i="3"/>
  <c r="E3" i="6" s="1"/>
  <c r="E48" i="43"/>
  <c r="B46" i="43" s="1"/>
  <c r="C24" i="43" s="1"/>
  <c r="S7" i="1"/>
  <c r="M20" i="6"/>
  <c r="I20" i="6" s="1"/>
  <c r="S20" i="6" s="1"/>
  <c r="AY6" i="3"/>
  <c r="K16" i="1"/>
  <c r="C9" i="78"/>
  <c r="C29" i="78"/>
  <c r="D27" i="78" s="1"/>
  <c r="C47" i="78"/>
  <c r="D45" i="78" s="1"/>
  <c r="AB32" i="33"/>
  <c r="U32" i="33"/>
  <c r="AA32" i="33"/>
  <c r="S32" i="33"/>
  <c r="K4" i="4"/>
  <c r="B46" i="48" s="1"/>
  <c r="B4" i="72" s="1"/>
  <c r="C9" i="68"/>
  <c r="C44" i="78"/>
  <c r="D41" i="78" s="1"/>
  <c r="C26" i="78"/>
  <c r="D22" i="78" s="1"/>
  <c r="C24" i="78"/>
  <c r="M21" i="6"/>
  <c r="I21" i="6" s="1"/>
  <c r="S21" i="6" s="1"/>
  <c r="AR6" i="1"/>
  <c r="L59" i="15"/>
  <c r="Q74" i="15" s="1"/>
  <c r="C30" i="11"/>
  <c r="E6" i="70"/>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69"/>
  <c r="D45" i="69" s="1"/>
  <c r="C29" i="69"/>
  <c r="D27" i="69"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6" i="78"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F50" i="78" s="1"/>
  <c r="Q60" i="67"/>
  <c r="Q73" i="67"/>
  <c r="F27" i="11"/>
  <c r="Q61" i="67"/>
  <c r="Q74" i="67"/>
  <c r="C49" i="67"/>
  <c r="F1" i="67"/>
  <c r="Q52" i="67"/>
  <c r="D10" i="78"/>
  <c r="F27" i="68"/>
  <c r="O16" i="1" l="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E7" i="70"/>
  <c r="T7" i="1"/>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8" i="3"/>
  <c r="AY52" i="3"/>
  <c r="AY69" i="3"/>
  <c r="AY105" i="3"/>
  <c r="AY540" i="3"/>
  <c r="AY557" i="3"/>
  <c r="AY436" i="3"/>
  <c r="AY326" i="3"/>
  <c r="AY379" i="3"/>
  <c r="AY229" i="3"/>
  <c r="AY43" i="3"/>
  <c r="AY412" i="3"/>
  <c r="AY489" i="3"/>
  <c r="AY363" i="3"/>
  <c r="AY252" i="3"/>
  <c r="AY204" i="3"/>
  <c r="AY123" i="3"/>
  <c r="AY74" i="3"/>
  <c r="AY139" i="3"/>
  <c r="AY196" i="3"/>
  <c r="AY67" i="3"/>
  <c r="K27" i="6"/>
  <c r="M19" i="6"/>
  <c r="I19" i="6" s="1"/>
  <c r="L18" i="9" s="1"/>
  <c r="D3" i="21"/>
  <c r="C17" i="4"/>
  <c r="B4" i="52" s="1"/>
  <c r="B43" i="72" s="1"/>
  <c r="D3" i="34"/>
  <c r="D3" i="37"/>
  <c r="AR7" i="1"/>
  <c r="AQ7" i="1"/>
  <c r="G39" i="43"/>
  <c r="I39" i="43" s="1"/>
  <c r="M27" i="6"/>
  <c r="E6" i="6"/>
  <c r="D20" i="12" s="1"/>
  <c r="C20" i="12" s="1"/>
  <c r="C18" i="12" s="1"/>
  <c r="M18" i="9"/>
  <c r="B118" i="9" s="1"/>
  <c r="B14" i="74" s="1"/>
  <c r="B1" i="74" s="1"/>
  <c r="D14" i="12"/>
  <c r="D17" i="12" s="1"/>
  <c r="C17" i="12" s="1"/>
  <c r="D37" i="11"/>
  <c r="D19" i="11"/>
  <c r="C19" i="11" s="1"/>
  <c r="C20" i="11" s="1"/>
  <c r="C10" i="78"/>
  <c r="C8" i="78" s="1"/>
  <c r="D19" i="78"/>
  <c r="D37" i="78" s="1"/>
  <c r="C37" i="78" s="1"/>
  <c r="C7" i="78"/>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68" s="1"/>
  <c r="E6" i="3"/>
  <c r="C47" i="68"/>
  <c r="D45" i="68" s="1"/>
  <c r="AA10" i="39"/>
  <c r="D10" i="11"/>
  <c r="C10" i="11" s="1"/>
  <c r="D19" i="6"/>
  <c r="M19" i="9" s="1"/>
  <c r="C118" i="9" s="1"/>
  <c r="C14" i="74" s="1"/>
  <c r="D25" i="6"/>
  <c r="D26" i="6"/>
  <c r="D15" i="6"/>
  <c r="C18" i="4"/>
  <c r="D22" i="6"/>
  <c r="D8" i="6"/>
  <c r="D21" i="6"/>
  <c r="D23" i="6"/>
  <c r="D24" i="6"/>
  <c r="D14" i="6"/>
  <c r="D20" i="6"/>
  <c r="C15" i="74" s="1"/>
  <c r="D5"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S19" i="6"/>
  <c r="S27" i="6" s="1"/>
  <c r="W10" i="39"/>
  <c r="AC10" i="39"/>
  <c r="U10" i="39"/>
  <c r="AB10" i="39"/>
  <c r="F50" i="11"/>
  <c r="F50" i="69"/>
  <c r="F50" i="68"/>
  <c r="C47" i="11"/>
  <c r="D45" i="11" s="1"/>
  <c r="C29" i="11"/>
  <c r="D27" i="11" s="1"/>
  <c r="L16" i="1"/>
  <c r="F34" i="68"/>
  <c r="C36" i="68"/>
  <c r="C34" i="78"/>
  <c r="D10" i="68"/>
  <c r="I27" i="6" l="1"/>
  <c r="H19" i="6"/>
  <c r="H27" i="6" s="1"/>
  <c r="D6" i="6"/>
  <c r="R25" i="6"/>
  <c r="B2" i="74"/>
  <c r="L19" i="9"/>
  <c r="C28" i="11"/>
  <c r="C27" i="11" s="1"/>
  <c r="R20" i="6"/>
  <c r="R7" i="1" s="1"/>
  <c r="C34" i="11"/>
  <c r="C38" i="11" s="1"/>
  <c r="C38" i="78"/>
  <c r="C35" i="78"/>
  <c r="C5" i="78"/>
  <c r="C20" i="78" s="1"/>
  <c r="C7" i="6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14" i="12"/>
  <c r="C23" i="12"/>
  <c r="C34" i="68"/>
  <c r="E6" i="76"/>
  <c r="R19" i="6" l="1"/>
  <c r="C31" i="11"/>
  <c r="C23" i="78"/>
  <c r="C33" i="78"/>
  <c r="C39" i="78" s="1"/>
  <c r="C5" i="68"/>
  <c r="C23" i="68" s="1"/>
  <c r="C28" i="78"/>
  <c r="C27" i="78" s="1"/>
  <c r="C25"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B6" i="76"/>
  <c r="M21" i="67"/>
  <c r="F35" i="67"/>
  <c r="C22" i="78" l="1"/>
  <c r="C31" i="78" s="1"/>
  <c r="C42" i="78"/>
  <c r="C46" i="78"/>
  <c r="C45" i="78" s="1"/>
  <c r="C43"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1" i="78" l="1"/>
  <c r="C49" i="78" s="1"/>
  <c r="C51" i="78" s="1"/>
  <c r="C52" i="78" s="1"/>
  <c r="C25" i="68"/>
  <c r="C22" i="68" s="1"/>
  <c r="C31" i="68" s="1"/>
  <c r="C27" i="12"/>
  <c r="C25" i="12" s="1"/>
  <c r="C32" i="12" s="1"/>
  <c r="B2" i="12" s="1"/>
  <c r="B3" i="12" s="1"/>
  <c r="C39" i="68"/>
  <c r="C43" i="68" s="1"/>
  <c r="C42" i="68"/>
  <c r="J63" i="40"/>
  <c r="I65" i="40"/>
  <c r="C46" i="11"/>
  <c r="C45" i="11" s="1"/>
  <c r="C49" i="11" s="1"/>
  <c r="C51" i="11" s="1"/>
  <c r="C52" i="11" s="1"/>
  <c r="B2" i="11" s="1"/>
  <c r="B3" i="11" s="1"/>
  <c r="J70" i="39"/>
  <c r="B2" i="78" l="1"/>
  <c r="C57" i="78"/>
  <c r="C56" i="78" s="1"/>
  <c r="C41" i="68"/>
  <c r="C46" i="68"/>
  <c r="C45" i="68" s="1"/>
  <c r="K63" i="40"/>
  <c r="J65" i="40"/>
  <c r="K70" i="39"/>
  <c r="C56" i="11"/>
  <c r="C57" i="11" s="1"/>
  <c r="B3" i="78"/>
  <c r="C49" i="68" l="1"/>
  <c r="C51" i="68" s="1"/>
  <c r="C52" i="68" s="1"/>
  <c r="L63" i="40"/>
  <c r="K65" i="40"/>
  <c r="L70" i="39"/>
  <c r="E2" i="70"/>
  <c r="C34" i="69"/>
  <c r="C17" i="67"/>
  <c r="C57" i="68" l="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F20" i="31"/>
  <c r="D2" i="33"/>
  <c r="D2" i="34"/>
  <c r="D2" i="36"/>
  <c r="D2" i="21"/>
  <c r="E2" i="68"/>
  <c r="D2" i="37"/>
  <c r="D2" i="35"/>
  <c r="B2" i="36" l="1"/>
  <c r="B3" i="36" s="1"/>
  <c r="B2" i="35"/>
  <c r="B3" i="35" s="1"/>
  <c r="B2" i="37"/>
  <c r="B3" i="37" s="1"/>
  <c r="B2" i="34"/>
  <c r="B3" i="34" s="1"/>
  <c r="B2" i="21"/>
  <c r="B3" i="21" s="1"/>
  <c r="B2" i="70"/>
  <c r="B3" i="70" s="1"/>
  <c r="B3" i="68"/>
  <c r="D20" i="9"/>
  <c r="D102" i="9" l="1"/>
  <c r="D21" i="9"/>
  <c r="D103" i="9"/>
  <c r="D34" i="9"/>
  <c r="H109" i="9" l="1"/>
  <c r="H110" i="9" l="1"/>
  <c r="D18" i="53" s="1"/>
  <c r="B35" i="72" s="1"/>
  <c r="D124" i="9"/>
  <c r="D16" i="53"/>
  <c r="B34" i="72" s="1"/>
  <c r="D10" i="52" l="1"/>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41" i="31"/>
  <c r="S41" i="31" s="1"/>
  <c r="R37" i="31"/>
  <c r="S37" i="31" s="1"/>
  <c r="R33" i="31"/>
  <c r="S33" i="31" s="1"/>
  <c r="R29" i="31"/>
  <c r="S29" i="31" s="1"/>
  <c r="R25" i="31"/>
  <c r="S25" i="31" s="1"/>
  <c r="R40" i="31"/>
  <c r="S40" i="31" s="1"/>
  <c r="R36" i="31"/>
  <c r="S36" i="31" s="1"/>
  <c r="R32" i="31"/>
  <c r="S32" i="31" s="1"/>
  <c r="R28" i="31"/>
  <c r="S28" i="31" s="1"/>
  <c r="R39" i="31"/>
  <c r="S39" i="31" s="1"/>
  <c r="R35" i="31"/>
  <c r="S35" i="31" s="1"/>
  <c r="R31" i="31"/>
  <c r="S31" i="31" s="1"/>
  <c r="R27" i="31"/>
  <c r="S27" i="31" s="1"/>
  <c r="R42" i="31"/>
  <c r="S42" i="31" s="1"/>
  <c r="R38" i="31"/>
  <c r="S38" i="31" s="1"/>
  <c r="R34" i="31"/>
  <c r="S34"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F66" i="39"/>
  <c r="B2" i="39" s="1"/>
  <c r="B3" i="39" s="1"/>
  <c r="D35" i="9"/>
  <c r="C32" i="9" l="1"/>
  <c r="C35" i="9" s="1"/>
  <c r="G21" i="9"/>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5" i="74" l="1"/>
  <c r="F15" i="74"/>
  <c r="E16" i="74" l="1"/>
  <c r="F16"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<sst xmlns="http://schemas.openxmlformats.org/spreadsheetml/2006/main" count="7693" uniqueCount="3218">
  <si>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</si>
  <si>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</si>
  <si>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</si>
  <si>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</si>
  <si>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</si>
  <si>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</si>
  <si>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</si>
  <si>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</si>
  <si>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</si>
  <si>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</si>
  <si>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</si>
  <si>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</si>
  <si>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</si>
  <si>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</si>
  <si>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</si>
  <si>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</si>
  <si>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</si>
  <si>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</si>
  <si>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</si>
  <si>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</si>
  <si>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</si>
  <si>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</si>
  <si>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</si>
  <si>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</si>
  <si>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</si>
  <si>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</si>
  <si>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</si>
  <si>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</si>
  <si>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</si>
  <si>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</si>
  <si>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</si>
  <si>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</si>
  <si>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</si>
  <si>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</si>
  <si>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</si>
  <si>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</si>
  <si>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</si>
  <si>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</si>
  <si>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</si>
  <si>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</si>
  <si>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</si>
  <si>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</si>
  <si>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</si>
  <si>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</si>
  <si>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</si>
  <si>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</si>
  <si>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</si>
  <si>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</si>
  <si>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</si>
  <si>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</si>
  <si>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</si>
  <si>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</si>
  <si>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</si>
  <si>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</si>
  <si>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</si>
  <si>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</si>
  <si>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</si>
  <si>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</si>
  <si>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</si>
  <si>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</si>
  <si>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</si>
  <si>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</si>
  <si>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</si>
  <si>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</si>
  <si>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</si>
  <si>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</si>
  <si>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</si>
  <si>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</si>
  <si>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</si>
  <si>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</si>
  <si>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</si>
  <si>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</si>
  <si>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</si>
  <si>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</si>
  <si>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</si>
  <si>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</si>
  <si>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</si>
  <si>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</si>
  <si>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</si>
  <si>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</si>
  <si>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</si>
  <si>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</si>
  <si>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</si>
  <si>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</si>
  <si>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</si>
  <si>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</si>
  <si>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</si>
  <si>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</si>
  <si>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</si>
  <si>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</si>
  <si>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</si>
  <si>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</si>
  <si>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</si>
  <si>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</si>
  <si>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</si>
  <si>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</si>
  <si>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</si>
  <si>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</si>
  <si>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</si>
  <si>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</si>
  <si>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</si>
  <si>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</si>
  <si>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</si>
  <si>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</si>
  <si>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</si>
  <si>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</si>
  <si>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</si>
  <si>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</si>
  <si>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</si>
  <si>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</si>
  <si>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</si>
  <si>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</si>
  <si>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</si>
  <si>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</si>
  <si>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</si>
  <si>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</si>
  <si>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</si>
  <si>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</si>
  <si>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</si>
  <si>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</si>
  <si>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</si>
  <si>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</si>
  <si>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</si>
  <si>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</si>
  <si>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</si>
  <si>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</si>
  <si>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</si>
  <si>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</si>
  <si>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</si>
  <si>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</si>
  <si>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</si>
  <si>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</si>
  <si>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</si>
  <si>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</si>
  <si>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</si>
  <si>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</si>
  <si>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</si>
  <si>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</si>
  <si>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</si>
  <si>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</si>
  <si>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</si>
  <si>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</si>
  <si>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</si>
  <si>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</si>
  <si>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</si>
  <si>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</si>
  <si>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</si>
  <si>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</si>
  <si>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</si>
  <si>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</si>
  <si>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</si>
  <si>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</si>
  <si>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</si>
  <si>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</si>
  <si>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</si>
  <si>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</si>
  <si>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</si>
  <si>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</si>
  <si>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</si>
  <si>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</si>
  <si>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</si>
  <si>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</si>
  <si>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</si>
  <si>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</si>
  <si>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</si>
  <si>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</si>
  <si>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</si>
  <si>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</si>
  <si>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</si>
  <si>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</si>
  <si>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</si>
  <si>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</si>
  <si>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</si>
  <si>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</si>
  <si>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</si>
  <si>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</si>
  <si>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</si>
  <si>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</si>
  <si>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</si>
  <si>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</si>
  <si>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</si>
  <si>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</si>
  <si>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</si>
  <si>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</si>
  <si>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</si>
  <si>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</si>
  <si>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</si>
  <si>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</si>
  <si>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</si>
  <si>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</si>
  <si>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</si>
  <si>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</si>
  <si>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</si>
  <si>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</si>
  <si>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</si>
  <si>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</si>
  <si>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</si>
  <si>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</si>
  <si>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</si>
  <si>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</si>
  <si>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</si>
  <si>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</si>
  <si>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</si>
  <si>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</si>
  <si>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</si>
  <si>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</si>
  <si>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</si>
  <si>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</si>
  <si>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</si>
  <si>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</si>
  <si>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</si>
  <si>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</si>
  <si>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</si>
  <si>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</si>
  <si>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</si>
  <si>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</si>
  <si>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</si>
  <si>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</si>
  <si>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</si>
  <si>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</si>
  <si>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</si>
  <si>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</si>
  <si>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</si>
  <si>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</si>
  <si>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</si>
  <si>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</si>
  <si>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</si>
  <si>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</si>
  <si>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</si>
  <si>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</si>
  <si>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</si>
  <si>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</si>
  <si>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</si>
  <si>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</si>
  <si>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</si>
  <si>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</si>
  <si>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</si>
  <si>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</si>
  <si>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</si>
  <si>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</si>
  <si>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</si>
  <si>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</si>
  <si>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</si>
  <si>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</si>
  <si>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</si>
  <si>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</si>
  <si>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</si>
  <si>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</si>
  <si>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</si>
  <si>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</si>
  <si>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</si>
  <si>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</si>
  <si>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</si>
  <si>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</si>
  <si>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</si>
  <si>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</si>
  <si>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</si>
  <si>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</si>
  <si>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</si>
  <si>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</si>
  <si>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</si>
  <si>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</si>
  <si>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</si>
  <si>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</si>
  <si>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</si>
  <si>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</si>
  <si>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</si>
  <si>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</si>
  <si>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</si>
  <si>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</si>
  <si>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</si>
  <si>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</si>
  <si>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</si>
  <si>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</si>
  <si>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</si>
  <si>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</si>
  <si>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</si>
  <si>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</si>
  <si>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</si>
  <si>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</si>
  <si>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</si>
  <si>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</si>
  <si>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</si>
  <si>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</si>
  <si>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</si>
  <si>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</si>
  <si>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</si>
  <si>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</si>
  <si>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</si>
  <si>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</si>
  <si>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</si>
  <si>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</si>
  <si>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</si>
  <si>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</si>
  <si>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</si>
  <si>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</si>
  <si>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</si>
  <si>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</si>
  <si>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</si>
  <si>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</si>
  <si>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</si>
  <si>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</si>
  <si>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</si>
  <si>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</si>
  <si>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</si>
  <si>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</si>
  <si>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</si>
  <si>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</si>
  <si>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</si>
  <si>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</si>
  <si>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</si>
  <si>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</si>
  <si>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</si>
  <si>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</si>
  <si>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</si>
  <si>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</si>
  <si>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</si>
  <si>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</si>
  <si>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</si>
  <si>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</si>
  <si>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</si>
  <si>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</si>
  <si>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</si>
  <si>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</si>
  <si>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</si>
  <si>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</si>
  <si>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</si>
  <si>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</si>
  <si>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</si>
  <si>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</si>
  <si>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</si>
  <si>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</si>
  <si>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</si>
  <si>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</si>
  <si>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</si>
  <si>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</si>
  <si>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</si>
  <si>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</si>
  <si>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</si>
  <si>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</si>
  <si>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</si>
  <si>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</si>
  <si>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</si>
  <si>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</si>
  <si>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</si>
  <si>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</si>
  <si>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</si>
  <si>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</si>
  <si>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</si>
  <si>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</si>
  <si>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</si>
  <si>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</si>
  <si>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</si>
  <si>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</si>
  <si>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</si>
  <si>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</si>
  <si>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</si>
  <si>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</si>
  <si>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</si>
  <si>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</si>
  <si>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</si>
  <si>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</si>
  <si>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</si>
  <si>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</si>
  <si>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</si>
  <si>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</si>
  <si>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</si>
  <si>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</si>
  <si>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</si>
  <si>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</si>
  <si>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</si>
  <si>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</si>
  <si>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</si>
  <si>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</si>
  <si>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</si>
  <si>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</si>
  <si>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</si>
  <si>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</si>
  <si>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</si>
  <si>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</si>
  <si>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</si>
  <si>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</si>
  <si>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</si>
  <si>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</si>
  <si>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</si>
  <si>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</si>
  <si>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</si>
  <si>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</si>
  <si>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</si>
  <si>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</si>
  <si>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</si>
  <si>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</si>
  <si>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</si>
  <si>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</si>
  <si>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</si>
  <si>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</si>
  <si>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</si>
  <si>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</si>
  <si>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</si>
  <si>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</si>
  <si>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</si>
  <si>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</si>
  <si>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</si>
  <si>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</si>
  <si>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</si>
  <si>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</si>
  <si>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</si>
  <si>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</si>
  <si>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</si>
  <si>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</si>
  <si>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</si>
  <si>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</si>
  <si>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</si>
  <si>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</si>
  <si>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</si>
  <si>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</si>
  <si>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</si>
  <si>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</si>
  <si>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</si>
  <si>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</si>
  <si>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</si>
  <si>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</si>
  <si>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</si>
  <si>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</si>
  <si>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</si>
  <si>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</si>
  <si>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</si>
  <si>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</si>
  <si>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</si>
  <si>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</si>
  <si>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</si>
  <si>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</si>
  <si>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</si>
  <si>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</si>
  <si>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</si>
  <si>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</si>
  <si>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</si>
  <si>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</si>
  <si>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</si>
  <si>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</si>
  <si>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</si>
  <si>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</si>
  <si>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</si>
  <si>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</si>
  <si>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</si>
  <si>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</si>
  <si>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</si>
  <si>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</si>
  <si>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</si>
  <si>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</si>
  <si>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</si>
  <si>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</si>
  <si>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</si>
  <si>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</si>
  <si>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</si>
  <si>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</si>
  <si>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</si>
  <si>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</si>
  <si>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</si>
  <si>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</si>
  <si>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</si>
  <si>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</si>
  <si>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</si>
  <si>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</si>
  <si>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</si>
  <si>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</si>
  <si>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</si>
  <si>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</si>
  <si>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</si>
  <si>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</si>
  <si>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</si>
  <si>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</si>
  <si>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</si>
  <si>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</si>
  <si>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</si>
  <si>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</si>
  <si>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</si>
  <si>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</si>
  <si>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</si>
  <si>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</si>
  <si>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</si>
  <si>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</si>
  <si>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</si>
  <si>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</si>
  <si>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</si>
  <si>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</si>
  <si>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</si>
  <si>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</si>
  <si>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</si>
  <si>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</si>
  <si>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</si>
  <si>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</si>
  <si>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</si>
  <si>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</si>
  <si>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</si>
  <si>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</si>
  <si>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</si>
  <si>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</si>
  <si>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</si>
  <si>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</si>
  <si>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</si>
  <si>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</si>
  <si>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</si>
  <si>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</si>
  <si>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</si>
  <si>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</si>
  <si>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</si>
  <si>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</si>
  <si>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</si>
  <si>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</si>
  <si>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</si>
  <si>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</si>
  <si>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</si>
  <si>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</si>
  <si>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</si>
  <si>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</si>
  <si>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</si>
  <si>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</si>
  <si>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</si>
  <si>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</si>
  <si>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</si>
  <si>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</si>
  <si>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</si>
  <si>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</si>
  <si>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</si>
  <si>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</si>
  <si>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</si>
  <si>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</si>
  <si>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</si>
  <si>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</si>
  <si>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</si>
  <si>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</si>
  <si>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</si>
  <si>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</si>
  <si>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</si>
  <si>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</si>
  <si>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</si>
  <si>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</si>
  <si>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</si>
  <si>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</si>
  <si>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</si>
  <si>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</si>
  <si>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</si>
  <si>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</si>
  <si>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</si>
  <si>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</si>
  <si>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</si>
  <si>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</si>
  <si>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</si>
  <si>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</si>
  <si>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</si>
  <si>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</si>
  <si>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</si>
  <si>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</si>
  <si>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</si>
  <si>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</si>
  <si>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</si>
  <si>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</si>
  <si>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</si>
  <si>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</si>
  <si>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</si>
  <si>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</si>
  <si>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</si>
  <si>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</si>
  <si>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</si>
  <si>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</si>
  <si>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</si>
  <si>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</si>
  <si>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</si>
  <si>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</si>
  <si>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</si>
  <si>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</si>
  <si>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</si>
  <si>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</si>
  <si>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</si>
  <si>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</si>
  <si>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</si>
  <si>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</si>
  <si>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</si>
  <si>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</si>
  <si>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</si>
  <si>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</si>
  <si>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</si>
  <si>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</si>
  <si>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</si>
  <si>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</si>
  <si>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</si>
  <si>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</si>
  <si>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</si>
  <si>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</si>
  <si>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</si>
  <si>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</si>
  <si>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</si>
  <si>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</si>
  <si>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</si>
  <si>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</si>
  <si>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</si>
  <si>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</si>
  <si>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</si>
  <si>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</si>
  <si>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</si>
  <si>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</si>
  <si>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</si>
  <si>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</si>
  <si>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</si>
  <si>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</si>
  <si>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</si>
  <si>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</si>
  <si>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</si>
  <si>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</si>
  <si>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</si>
  <si>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</si>
  <si>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</si>
  <si>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</si>
  <si>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</si>
  <si>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</si>
  <si>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</si>
  <si>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</si>
  <si>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</si>
  <si>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</si>
  <si>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</si>
  <si>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</si>
  <si>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</si>
  <si>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</si>
  <si>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</si>
  <si>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</si>
  <si>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</si>
  <si>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</si>
  <si>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</si>
  <si>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</si>
  <si>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</si>
  <si>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</si>
  <si>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</si>
  <si>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</si>
  <si>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</si>
  <si>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</si>
  <si>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</si>
  <si>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</si>
  <si>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</si>
  <si>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</si>
  <si>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</si>
  <si>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</si>
  <si>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</si>
  <si>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</si>
  <si>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</si>
  <si>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</si>
  <si>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</si>
  <si>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</si>
  <si>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</si>
  <si>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</si>
  <si>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</si>
  <si>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</si>
  <si>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</si>
  <si>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</si>
  <si>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</si>
  <si>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</si>
  <si>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</si>
  <si>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</si>
  <si>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</si>
  <si>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</si>
  <si>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</si>
  <si>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</si>
  <si>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</si>
  <si>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</si>
  <si>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</si>
  <si>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</si>
  <si>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</si>
  <si>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</si>
  <si>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</si>
  <si>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</si>
  <si>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</si>
  <si>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</si>
  <si>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</si>
  <si>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</si>
  <si>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</si>
  <si>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</si>
  <si>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</si>
  <si>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</si>
  <si>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</si>
  <si>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</si>
  <si>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</si>
  <si>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</si>
  <si>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</si>
  <si>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</si>
  <si>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</si>
  <si>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</si>
  <si>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</si>
  <si>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</si>
  <si>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</si>
  <si>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</si>
  <si>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</si>
  <si>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</si>
  <si>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</si>
  <si>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</si>
  <si>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</si>
  <si>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</si>
  <si>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</si>
  <si>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</si>
  <si>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</si>
  <si>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</si>
  <si>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</si>
  <si>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</si>
  <si>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</si>
  <si>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</si>
  <si>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</si>
  <si>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</si>
  <si>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</si>
  <si>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</si>
  <si>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</si>
  <si>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</si>
  <si>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</si>
  <si>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</si>
  <si>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</si>
  <si>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</si>
  <si>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</si>
  <si>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</si>
  <si>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</si>
  <si>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</si>
  <si>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</si>
  <si>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</si>
  <si>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</si>
  <si>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</si>
  <si>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</si>
  <si>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</si>
  <si>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</si>
  <si>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</si>
  <si>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</si>
  <si>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</si>
  <si>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</si>
  <si>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</si>
  <si>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</si>
  <si>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</si>
  <si>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</si>
  <si>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</si>
  <si>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</si>
  <si>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</si>
  <si>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</si>
  <si>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</si>
  <si>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</si>
  <si>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</si>
  <si>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</si>
  <si>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</si>
  <si>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</si>
  <si>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</si>
  <si>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</si>
  <si>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</si>
  <si>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</si>
  <si>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</si>
  <si>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</si>
  <si>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</si>
  <si>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</si>
  <si>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</si>
  <si>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</si>
  <si>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</si>
  <si>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</si>
  <si>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</si>
  <si>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</si>
  <si>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</si>
  <si>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</si>
  <si>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</si>
  <si>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</si>
  <si>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</si>
  <si>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</si>
  <si>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</si>
  <si>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</si>
  <si>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</si>
  <si>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</si>
  <si>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</si>
  <si>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</si>
  <si>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</si>
  <si>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</si>
  <si>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</si>
  <si>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</si>
  <si>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</si>
  <si>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</si>
  <si>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</si>
  <si>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</si>
  <si>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</si>
  <si>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</si>
  <si>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</si>
  <si>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</si>
  <si>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</si>
  <si>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</si>
  <si>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</si>
  <si>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</si>
  <si>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</si>
  <si>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</si>
  <si>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</si>
  <si>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</si>
  <si>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</si>
  <si>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</si>
  <si>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</si>
  <si>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</si>
  <si>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</si>
  <si>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</si>
  <si>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</si>
  <si>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</si>
  <si>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</si>
  <si>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</si>
  <si>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</si>
  <si>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</si>
  <si>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</si>
  <si>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</si>
  <si>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</si>
  <si>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</si>
  <si>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</si>
  <si>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</si>
  <si>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</si>
  <si>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</si>
  <si>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</si>
  <si>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</si>
  <si>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</si>
  <si>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</si>
  <si>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</si>
  <si>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</si>
  <si>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</si>
  <si>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</si>
  <si>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</si>
  <si>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</si>
  <si>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</si>
  <si>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</si>
  <si>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</si>
  <si>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</si>
  <si>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</si>
  <si>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</si>
  <si>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</si>
  <si>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</si>
  <si>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</si>
  <si>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</si>
  <si>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</si>
  <si>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</si>
  <si>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</si>
  <si>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</si>
  <si>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</si>
  <si>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</si>
  <si>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</si>
  <si>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</si>
  <si>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</si>
  <si>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</si>
  <si>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</si>
  <si>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</si>
  <si>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</si>
  <si>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</si>
  <si>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</si>
  <si>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</si>
  <si>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</si>
  <si>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</si>
  <si>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</si>
  <si>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</si>
  <si>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</si>
  <si>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</si>
  <si>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</si>
  <si>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</si>
  <si>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</si>
  <si>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</si>
  <si>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</si>
  <si>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</si>
  <si>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</si>
  <si>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</si>
  <si>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</si>
  <si>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</si>
  <si>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</si>
  <si>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</si>
  <si>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</si>
  <si>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</si>
  <si>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</si>
  <si>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</si>
  <si>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</si>
  <si>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</si>
  <si>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</si>
  <si>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</si>
  <si>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</si>
  <si>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</si>
  <si>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</si>
  <si>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</si>
  <si>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</si>
  <si>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</si>
  <si>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</si>
  <si>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</si>
  <si>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</si>
  <si>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</si>
  <si>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</si>
  <si>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</si>
  <si>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</si>
  <si>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</si>
  <si>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</si>
  <si>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</si>
  <si>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</si>
  <si>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</si>
  <si>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</si>
  <si>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</si>
  <si>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</si>
  <si>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</si>
  <si>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</si>
  <si>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</si>
  <si>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</si>
  <si>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</si>
  <si>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</si>
  <si>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</si>
  <si>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</si>
  <si>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</si>
  <si>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</si>
  <si>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</si>
  <si>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</si>
  <si>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</si>
  <si>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</si>
  <si>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</si>
  <si>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</si>
  <si>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</si>
  <si>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</si>
  <si>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</si>
  <si>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</si>
  <si>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</si>
  <si>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</si>
  <si>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</si>
  <si>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</si>
  <si>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</si>
  <si>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</si>
  <si>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</si>
  <si>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</si>
  <si>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</si>
  <si>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</si>
  <si>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</si>
  <si>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</si>
  <si>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</si>
  <si>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</si>
  <si>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</si>
  <si>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</si>
  <si>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</si>
  <si>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</si>
  <si>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</si>
  <si>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</si>
  <si>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</si>
  <si>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</si>
  <si>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</si>
  <si>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</si>
  <si>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</si>
  <si>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</si>
  <si>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</si>
  <si>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</si>
  <si>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</si>
  <si>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</si>
  <si>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</si>
  <si>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</si>
  <si>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</si>
  <si>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</si>
  <si>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</si>
  <si>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</si>
  <si>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</si>
  <si>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</si>
  <si>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</si>
  <si>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</si>
  <si>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</si>
  <si>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</si>
  <si>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</si>
  <si>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</si>
  <si>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</si>
  <si>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</si>
  <si>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</si>
  <si>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</si>
  <si>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</si>
  <si>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</si>
  <si>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</si>
  <si>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</si>
  <si>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</si>
  <si>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</si>
  <si>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</si>
  <si>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</si>
  <si>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</si>
  <si>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</si>
  <si>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</si>
  <si>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</si>
  <si>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</si>
  <si>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</si>
  <si>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</si>
  <si>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</si>
  <si>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</si>
  <si>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</si>
  <si>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</si>
  <si>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</si>
  <si>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</si>
  <si>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</si>
  <si>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</si>
  <si>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</si>
  <si>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</si>
  <si>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</si>
  <si>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</si>
  <si>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</si>
  <si>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</si>
  <si>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</si>
  <si>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</si>
  <si>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</si>
  <si>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</si>
  <si>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</si>
  <si>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</si>
  <si>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</si>
  <si>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</si>
  <si>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</si>
  <si>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</si>
  <si>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</si>
  <si>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</si>
  <si>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</si>
  <si>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</si>
  <si>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</si>
  <si>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</si>
  <si>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</si>
  <si>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</si>
  <si>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</si>
  <si>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</si>
  <si>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</si>
  <si>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</si>
  <si>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</si>
  <si>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</si>
  <si>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</si>
  <si>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</si>
  <si>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</si>
  <si>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</si>
  <si>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</si>
  <si>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</si>
  <si>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</si>
  <si>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</si>
  <si>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</si>
  <si>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</si>
  <si>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</si>
  <si>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</si>
  <si>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</si>
  <si>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</si>
  <si>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</si>
  <si>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</si>
  <si>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</si>
  <si>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</si>
  <si>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</si>
  <si>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</si>
  <si>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</si>
  <si>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</si>
  <si>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</si>
  <si>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</si>
  <si>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</si>
  <si>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</si>
  <si>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</si>
  <si>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</si>
  <si>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</si>
  <si>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</si>
  <si>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</si>
  <si>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</si>
  <si>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</si>
  <si>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</si>
  <si>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</si>
  <si>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</si>
  <si>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</si>
  <si>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</si>
  <si>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</si>
  <si>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</si>
  <si>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</si>
  <si>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</si>
  <si>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</si>
  <si>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</si>
  <si>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</si>
  <si>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</si>
  <si>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</si>
  <si>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</si>
  <si>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</si>
  <si>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</si>
  <si>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</si>
  <si>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</si>
  <si>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</si>
  <si>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</si>
  <si>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</si>
  <si>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</si>
  <si>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</si>
  <si>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</si>
  <si>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</si>
  <si>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</si>
  <si>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</si>
  <si>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</si>
  <si>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</si>
  <si>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</si>
  <si>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</si>
  <si>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</si>
  <si>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</si>
  <si>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</si>
  <si>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</si>
  <si>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</si>
  <si>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</si>
  <si>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</si>
  <si>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</si>
  <si>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</si>
  <si>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</si>
  <si>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</si>
  <si>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</si>
  <si>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</si>
  <si>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</si>
  <si>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</si>
  <si>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</si>
  <si>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</si>
  <si>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</si>
  <si>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</si>
  <si>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</si>
  <si>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</si>
  <si>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</si>
  <si>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</si>
  <si>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</si>
  <si>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</si>
  <si>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</si>
  <si>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</si>
  <si>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</si>
  <si>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</si>
  <si>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</si>
  <si>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</si>
  <si>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</si>
  <si>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</si>
  <si>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</si>
  <si>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</si>
  <si>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</si>
  <si>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</si>
  <si>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</si>
  <si>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</si>
  <si>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</si>
  <si>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</si>
  <si>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</si>
  <si>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</si>
  <si>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</si>
  <si>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</si>
  <si>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</si>
  <si>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</si>
  <si>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</si>
  <si>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</si>
  <si>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</si>
  <si>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</si>
  <si>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</si>
  <si>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</si>
  <si>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</si>
  <si>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</si>
  <si>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</si>
  <si>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</si>
  <si>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</si>
  <si>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</si>
  <si>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</si>
  <si>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</si>
  <si>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</si>
  <si>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</si>
  <si>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</si>
  <si>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</si>
  <si>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</si>
  <si>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</si>
  <si>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</si>
  <si>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</si>
  <si>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</si>
  <si>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</si>
  <si>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</si>
  <si>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</si>
  <si>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</si>
  <si>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</si>
  <si>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</si>
  <si>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</si>
  <si>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</si>
  <si>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</si>
  <si>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</si>
  <si>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</si>
  <si>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</si>
  <si>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</si>
  <si>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</si>
  <si>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</si>
  <si>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</si>
  <si>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</si>
  <si>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</si>
  <si>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</si>
  <si>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</si>
  <si>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</si>
  <si>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</si>
  <si>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</si>
  <si>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</si>
  <si>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</si>
  <si>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</si>
  <si>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</si>
  <si>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</si>
  <si>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</si>
  <si>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</si>
  <si>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</si>
  <si>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</si>
  <si>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</si>
  <si>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</si>
  <si>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</si>
  <si>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</si>
  <si>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</si>
  <si>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</si>
  <si>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</si>
  <si>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</si>
  <si>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</si>
  <si>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</si>
  <si>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</si>
  <si>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</si>
  <si>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</si>
  <si>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</si>
  <si>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</si>
  <si>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</si>
  <si>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</si>
  <si>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</si>
  <si>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</si>
  <si>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</si>
  <si>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</si>
  <si>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</si>
  <si>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</si>
  <si>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</si>
  <si>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</si>
  <si>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</si>
  <si>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</si>
  <si>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</si>
  <si>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</si>
  <si>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</si>
  <si>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</si>
  <si>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</si>
  <si>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</si>
  <si>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</si>
  <si>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</si>
  <si>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</si>
  <si>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</si>
  <si>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</si>
  <si>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</si>
  <si>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</si>
  <si>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</si>
  <si>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</si>
  <si>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</si>
  <si>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</si>
  <si>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</si>
  <si>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</si>
  <si>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</si>
  <si>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</si>
  <si>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</si>
  <si>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</si>
  <si>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</si>
  <si>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</si>
  <si>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</si>
  <si>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</si>
  <si>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</si>
  <si>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</si>
  <si>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</si>
  <si>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</si>
  <si>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</si>
  <si>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</si>
  <si>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</si>
  <si>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</si>
  <si>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</si>
  <si>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</si>
  <si>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</si>
  <si>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</si>
  <si>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</si>
  <si>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</si>
  <si>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</si>
  <si>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</si>
  <si>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</si>
  <si>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</si>
  <si>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</si>
  <si>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</si>
  <si>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</si>
  <si>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</si>
  <si>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</si>
  <si>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</si>
  <si>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</si>
  <si>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</si>
  <si>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</si>
  <si>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</si>
  <si>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</si>
  <si>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</si>
  <si>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</si>
  <si>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</si>
  <si>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</si>
  <si>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</si>
  <si>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</si>
  <si>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</si>
  <si>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</si>
  <si>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</si>
  <si>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</si>
  <si>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</si>
  <si>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</si>
  <si>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</si>
  <si>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</si>
  <si>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</si>
  <si>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</si>
  <si>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</si>
  <si>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</si>
  <si>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</si>
  <si>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</si>
  <si>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</si>
  <si>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</si>
  <si>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</si>
  <si>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</si>
  <si>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</si>
  <si>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</si>
  <si>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</si>
  <si>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</si>
  <si>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</si>
  <si>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</si>
  <si>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</si>
  <si>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</si>
  <si>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</si>
  <si>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</si>
  <si>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</si>
  <si>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</si>
  <si>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</si>
  <si>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</si>
  <si>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</si>
  <si>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</si>
  <si>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</si>
  <si>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</si>
  <si>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</si>
  <si>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</si>
  <si>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</si>
  <si>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</si>
  <si>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</si>
  <si>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</si>
  <si>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</si>
  <si>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</si>
  <si>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</si>
  <si>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</si>
  <si>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</si>
  <si>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</si>
  <si>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</si>
  <si>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</si>
  <si>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</si>
  <si>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</si>
  <si>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</si>
  <si>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</si>
  <si>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</si>
  <si>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</si>
  <si>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</si>
  <si>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</si>
  <si>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</si>
  <si>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</si>
  <si>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</si>
  <si>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</si>
  <si>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</si>
  <si>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</si>
  <si>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</si>
  <si>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</si>
  <si>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</si>
  <si>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</si>
  <si>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</si>
  <si>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</si>
  <si>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</si>
  <si>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</si>
  <si>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</si>
  <si>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</si>
  <si>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</si>
  <si>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</si>
  <si>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</si>
  <si>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</si>
  <si>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</si>
  <si>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</si>
  <si>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</si>
  <si>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</si>
  <si>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</si>
  <si>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</si>
  <si>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</si>
  <si>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</si>
  <si>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</si>
  <si>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</si>
  <si>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</si>
  <si>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</si>
  <si>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</si>
  <si>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</si>
  <si>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</si>
  <si>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</si>
  <si>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</si>
  <si>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</si>
  <si>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</si>
  <si>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</si>
  <si>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</si>
  <si>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</si>
  <si>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</si>
  <si>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</si>
  <si>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</si>
  <si>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</si>
  <si>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</si>
  <si>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</si>
  <si>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</si>
  <si>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</si>
  <si>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</si>
  <si>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</si>
  <si>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</si>
  <si>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</si>
  <si>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</si>
  <si>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</si>
  <si>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</si>
  <si>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</si>
  <si>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</si>
  <si>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</si>
  <si>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</si>
  <si>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</si>
  <si>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</si>
  <si>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</si>
  <si>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</si>
  <si>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</si>
  <si>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</si>
  <si>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</si>
  <si>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</si>
  <si>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</si>
  <si>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</si>
  <si>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</si>
  <si>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</si>
  <si>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</si>
  <si>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</si>
  <si>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</si>
  <si>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</si>
  <si>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</si>
  <si>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</si>
  <si>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</si>
  <si>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</si>
  <si>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</si>
  <si>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</si>
  <si>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</si>
  <si>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</si>
  <si>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</si>
  <si>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</si>
  <si>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</si>
  <si>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</si>
  <si>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</si>
  <si>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</si>
  <si>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</si>
  <si>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</si>
  <si>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</si>
  <si>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</si>
  <si>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</si>
  <si>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</si>
  <si>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</si>
  <si>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</si>
  <si>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</si>
  <si>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</si>
  <si>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</si>
  <si>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</si>
  <si>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</si>
  <si>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</si>
  <si>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</si>
  <si>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</si>
  <si>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</si>
  <si>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</si>
  <si>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</si>
  <si>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</si>
  <si>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</si>
  <si>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</si>
  <si>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</si>
  <si>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</si>
  <si>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</si>
  <si>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</si>
  <si>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</si>
  <si>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</si>
  <si>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</si>
  <si>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</si>
  <si>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</si>
  <si>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</si>
  <si>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</si>
  <si>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</si>
  <si>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</si>
  <si>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</si>
  <si>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</si>
  <si>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</si>
  <si>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</si>
  <si>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</si>
  <si>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</si>
  <si>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</si>
  <si>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</si>
  <si>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</si>
  <si>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</si>
  <si>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</si>
  <si>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</si>
  <si>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</si>
  <si>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</si>
  <si>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</si>
  <si>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</si>
  <si>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</si>
  <si>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</si>
  <si>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</si>
  <si>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</si>
  <si>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</si>
  <si>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</si>
  <si>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</si>
  <si>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</si>
  <si>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</si>
  <si>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</si>
  <si>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</si>
  <si>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</si>
  <si>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</si>
  <si>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</si>
  <si>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</si>
  <si>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</si>
  <si>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</si>
  <si>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</si>
  <si>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</si>
  <si>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</si>
  <si>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</si>
  <si>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</si>
  <si>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</si>
  <si>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</si>
  <si>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</si>
  <si>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</si>
  <si>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</si>
  <si>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</si>
  <si>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</si>
  <si>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</si>
  <si>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</si>
  <si>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</si>
  <si>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</si>
  <si>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</si>
  <si>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</si>
  <si>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</si>
  <si>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</si>
  <si>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</si>
  <si>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</si>
  <si>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</si>
  <si>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</si>
  <si>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</si>
  <si>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</si>
  <si>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</si>
  <si>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</si>
  <si>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</si>
  <si>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</si>
  <si>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</si>
  <si>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</si>
  <si>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</si>
  <si>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</si>
  <si>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</si>
  <si>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</si>
  <si>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</si>
  <si>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</si>
  <si>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</si>
  <si>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</si>
  <si>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</si>
  <si>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</si>
  <si>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</si>
  <si>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</si>
  <si>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</si>
  <si>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</si>
  <si>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</si>
  <si>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</si>
  <si>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</si>
  <si>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</si>
  <si>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</si>
  <si>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</si>
  <si>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</si>
  <si>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</si>
  <si>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</si>
  <si>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</si>
  <si>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</si>
  <si>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</si>
  <si>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</si>
  <si>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</si>
  <si>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</si>
  <si>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</si>
  <si>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</si>
  <si>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</si>
  <si>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</si>
  <si>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</si>
  <si>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</si>
  <si>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</si>
  <si>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</si>
  <si>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</si>
  <si>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</si>
  <si>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</si>
  <si>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</si>
  <si>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</si>
  <si>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</si>
  <si>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</si>
  <si>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</si>
  <si>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</si>
  <si>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</si>
  <si>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</si>
  <si>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</si>
  <si>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</si>
  <si>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</si>
  <si>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</si>
  <si>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</si>
  <si>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</si>
  <si>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</si>
  <si>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</si>
  <si>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</si>
  <si>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</si>
  <si>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</si>
  <si>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</si>
  <si>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</si>
  <si>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</si>
  <si>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</si>
  <si>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</si>
  <si>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</si>
  <si>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</si>
  <si>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</si>
  <si>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</si>
  <si>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</si>
  <si>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</si>
  <si>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</si>
  <si>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</si>
  <si>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</si>
  <si>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</si>
  <si>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</si>
  <si>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</si>
  <si>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</si>
  <si>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</si>
  <si>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</si>
  <si>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</si>
  <si>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</si>
  <si>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</si>
  <si>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</si>
  <si>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</si>
  <si>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</si>
  <si>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</si>
  <si>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</si>
  <si>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</si>
  <si>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</si>
  <si>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</si>
  <si>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</si>
  <si>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</si>
  <si>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</si>
  <si>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</si>
  <si>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</si>
  <si>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</si>
  <si>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</si>
  <si>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</si>
  <si>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</si>
  <si>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</si>
  <si>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</si>
  <si>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</si>
  <si>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</si>
  <si>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</si>
  <si>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</si>
  <si>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</si>
  <si>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</si>
  <si>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</si>
  <si>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</si>
  <si>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</si>
  <si>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</si>
  <si>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</si>
  <si>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</si>
  <si>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</si>
  <si>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</si>
  <si>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</si>
  <si>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</si>
  <si>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</si>
  <si>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</si>
  <si>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</si>
  <si>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</si>
  <si>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</si>
  <si>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</si>
  <si>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</si>
  <si>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</si>
  <si>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</si>
  <si>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</si>
  <si>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</si>
  <si>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</si>
  <si>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</si>
  <si>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</si>
  <si>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</si>
  <si>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</si>
  <si>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</si>
  <si>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</si>
  <si>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</si>
  <si>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</si>
  <si>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</si>
  <si>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</si>
  <si>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</si>
  <si>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</si>
  <si>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</si>
  <si>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</si>
  <si>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</si>
  <si>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</si>
  <si>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</si>
  <si>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</si>
  <si>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</si>
  <si>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</si>
  <si>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</si>
  <si>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</si>
  <si>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</si>
  <si>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</si>
  <si>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</si>
  <si>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</si>
  <si>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</si>
  <si>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</si>
  <si>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</si>
  <si>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</si>
  <si>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</si>
  <si>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</si>
  <si>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</si>
  <si>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</si>
  <si>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</si>
  <si>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</si>
  <si>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</si>
  <si>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</si>
  <si>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</si>
  <si>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</si>
  <si>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</si>
  <si>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</si>
  <si>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</si>
  <si>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</si>
  <si>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</si>
  <si>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</si>
  <si>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</si>
  <si>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</si>
  <si>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</si>
  <si>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</si>
  <si>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</si>
  <si>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</si>
  <si>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</si>
  <si>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</si>
  <si>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</si>
  <si>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</si>
  <si>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</si>
  <si>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</si>
  <si>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</si>
  <si>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</si>
  <si>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</si>
  <si>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</si>
  <si>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</si>
  <si>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</si>
  <si>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</si>
  <si>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</si>
  <si>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</si>
  <si>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</si>
  <si>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</si>
  <si>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</si>
  <si>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</si>
  <si>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</si>
  <si>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</si>
  <si>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</si>
  <si>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</si>
  <si>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</si>
  <si>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</si>
  <si>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</si>
  <si>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</si>
  <si>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</si>
  <si>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</si>
  <si>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</si>
  <si>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</si>
  <si>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</si>
  <si>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</si>
  <si>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</si>
  <si>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</si>
  <si>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</si>
  <si>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</si>
  <si>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</si>
  <si>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</si>
  <si>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</si>
  <si>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</si>
  <si>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</si>
  <si>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</si>
  <si>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</si>
  <si>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</si>
  <si>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</si>
  <si>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</si>
  <si>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</si>
  <si>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</si>
  <si>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</si>
  <si>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</si>
  <si>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</si>
  <si>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</si>
  <si>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</si>
  <si>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</si>
  <si>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</si>
  <si>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</si>
  <si>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</si>
  <si>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</si>
  <si>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</si>
  <si>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</si>
  <si>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</si>
  <si>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</si>
  <si>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</si>
  <si>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</si>
  <si>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</si>
  <si>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</si>
  <si>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</si>
  <si>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</si>
  <si>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</si>
  <si>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</si>
  <si>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</si>
  <si>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</si>
  <si>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</si>
  <si>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</si>
  <si>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</si>
  <si>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</si>
  <si>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</si>
  <si>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</si>
  <si>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</si>
  <si>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</si>
  <si>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</si>
  <si>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</si>
  <si>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</si>
  <si>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</si>
  <si>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</si>
  <si>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</si>
  <si>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</si>
  <si>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</si>
  <si>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</si>
  <si>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</si>
  <si>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</si>
  <si>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</si>
  <si>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</si>
  <si>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</si>
  <si>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</si>
  <si>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</si>
  <si>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</si>
  <si>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</si>
  <si>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</si>
  <si>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</si>
  <si>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</si>
  <si>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</si>
  <si>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</si>
  <si>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</si>
  <si>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</si>
  <si>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</si>
  <si>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</si>
  <si>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</si>
  <si>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</si>
  <si>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</si>
  <si>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</si>
  <si>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</si>
  <si>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</si>
  <si>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</si>
  <si>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</si>
  <si>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</si>
  <si>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</si>
  <si>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</si>
  <si>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</si>
  <si>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</si>
  <si>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</si>
  <si>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</si>
  <si>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</si>
  <si>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</si>
  <si>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</si>
  <si>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</si>
  <si>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</si>
  <si>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</si>
  <si>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</si>
  <si>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</si>
  <si>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</si>
  <si>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</si>
  <si>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</si>
  <si>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</si>
  <si>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</si>
  <si>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</si>
  <si>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</si>
  <si>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</si>
  <si>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</si>
  <si>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</si>
  <si>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</si>
  <si>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</si>
  <si>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</si>
  <si>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</si>
  <si>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</si>
  <si>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</si>
  <si>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</si>
  <si>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</si>
  <si>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</si>
  <si>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</si>
  <si>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</si>
  <si>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</si>
  <si>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</si>
  <si>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</si>
  <si>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</si>
  <si>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</si>
  <si>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</si>
  <si>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</si>
  <si>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</si>
  <si>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</si>
  <si>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</si>
  <si>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</si>
  <si>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</si>
  <si>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</si>
  <si>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</si>
  <si>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</si>
  <si>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</si>
  <si>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</si>
  <si>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</si>
  <si>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</si>
  <si>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</si>
  <si>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</si>
  <si>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</si>
  <si>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</si>
  <si>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</si>
  <si>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</si>
  <si>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</si>
  <si>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</si>
  <si>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</si>
  <si>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</si>
  <si>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</si>
  <si>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</si>
  <si>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</si>
  <si>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</si>
  <si>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</si>
  <si>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</si>
  <si>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</si>
  <si>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</si>
  <si>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</si>
  <si>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</si>
  <si>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</si>
  <si>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</si>
  <si>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</si>
  <si>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</si>
  <si>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</si>
  <si>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</si>
  <si>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</si>
  <si>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</si>
  <si>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</si>
  <si>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</si>
  <si>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</si>
  <si>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</si>
  <si>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</si>
  <si>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</si>
  <si>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</si>
  <si>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</si>
  <si>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</si>
  <si>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</si>
  <si>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</si>
  <si>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</si>
  <si>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</si>
  <si>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</si>
  <si>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</si>
  <si>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</si>
  <si>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</si>
  <si>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</si>
  <si>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</si>
  <si>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</si>
  <si>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</si>
  <si>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</si>
  <si>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</si>
  <si>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</si>
  <si>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</si>
  <si>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</si>
  <si>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</si>
  <si>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</si>
  <si>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</si>
  <si>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</si>
  <si>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</si>
  <si>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</si>
  <si>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</si>
  <si>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</si>
  <si>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</si>
  <si>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</si>
  <si>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</si>
  <si>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</si>
  <si>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</si>
  <si>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</si>
  <si>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</si>
  <si>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</si>
  <si>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</si>
  <si>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</si>
  <si>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</si>
  <si>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</si>
  <si>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</si>
  <si>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</si>
  <si>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</si>
  <si>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</si>
  <si>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</si>
  <si>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</si>
  <si>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</si>
  <si>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</si>
  <si>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</si>
  <si>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</si>
  <si>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</si>
  <si>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</si>
  <si>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</si>
  <si>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</si>
  <si>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</si>
  <si>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</si>
  <si>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</si>
  <si>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</si>
  <si>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</si>
  <si>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</si>
  <si>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</si>
  <si>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</si>
  <si>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</si>
  <si>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</si>
  <si>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</si>
  <si>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</si>
  <si>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</si>
  <si>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</si>
  <si>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</si>
  <si>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</si>
  <si>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</si>
  <si>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</si>
  <si>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</si>
  <si>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</si>
  <si>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</si>
  <si>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</si>
  <si>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</si>
  <si>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</si>
  <si>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</si>
  <si>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</si>
  <si>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</si>
  <si>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</si>
  <si>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</si>
  <si>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</si>
  <si>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</si>
  <si>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</si>
  <si>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</si>
  <si>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</si>
  <si>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</si>
  <si>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</si>
  <si>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</si>
  <si>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</si>
  <si>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</si>
  <si>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</si>
  <si>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</si>
  <si>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</si>
  <si>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</si>
  <si>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</si>
  <si>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</si>
  <si>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</si>
  <si>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</si>
  <si>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</si>
  <si>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</si>
  <si>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</si>
  <si>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</si>
  <si>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</si>
  <si>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</si>
  <si>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</si>
  <si>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</si>
  <si>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</si>
  <si>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</si>
  <si>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</si>
  <si>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</si>
  <si>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</si>
  <si>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</si>
  <si>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</si>
  <si>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</si>
  <si>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</si>
  <si>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</si>
  <si>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</si>
  <si>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</si>
  <si>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</si>
  <si>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</si>
  <si>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</si>
  <si>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</si>
  <si>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</si>
  <si>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</si>
  <si>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</si>
  <si>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</si>
  <si>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</si>
  <si>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</si>
  <si>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</si>
  <si>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</si>
  <si>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</si>
  <si>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</si>
  <si>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</si>
  <si>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</si>
  <si>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</si>
  <si>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</si>
  <si>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</si>
  <si>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</si>
  <si>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</si>
  <si>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</si>
  <si>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</si>
  <si>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</si>
  <si>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</si>
  <si>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</si>
  <si>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</si>
  <si>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</si>
  <si>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</si>
  <si>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</si>
  <si>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</si>
  <si>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</si>
  <si>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</si>
  <si>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</si>
  <si>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</si>
  <si>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</si>
  <si>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</si>
  <si>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</si>
  <si>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</si>
  <si>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</si>
  <si>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</si>
  <si>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</si>
  <si>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</si>
  <si>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</si>
  <si>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</si>
  <si>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</si>
  <si>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</si>
  <si>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</si>
  <si>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</si>
  <si>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</si>
  <si>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</si>
  <si>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</si>
  <si>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</si>
  <si>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</si>
  <si>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</si>
  <si>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</si>
  <si>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</si>
  <si>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</si>
  <si>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</si>
  <si>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</si>
  <si>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</si>
  <si>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</si>
  <si>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</si>
  <si>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</si>
  <si>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</si>
  <si>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</si>
  <si>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</si>
  <si>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</si>
  <si>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</si>
  <si>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</si>
  <si>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</si>
  <si>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</si>
  <si>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</si>
  <si>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</si>
  <si>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</si>
  <si>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</si>
  <si>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</si>
  <si>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</si>
  <si>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</si>
  <si>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</si>
  <si>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</si>
  <si>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</si>
  <si>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</si>
  <si>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</si>
  <si>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</si>
  <si>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</si>
  <si>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</si>
  <si>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</si>
  <si>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</si>
  <si>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</si>
  <si>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</si>
  <si>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</si>
  <si>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</si>
  <si>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</si>
  <si>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</si>
  <si>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</si>
  <si>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</si>
  <si>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</si>
  <si>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</si>
  <si>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</si>
  <si>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</si>
  <si>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</si>
  <si>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</si>
  <si>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</si>
  <si>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</si>
  <si>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</si>
  <si>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</si>
  <si>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</si>
  <si>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</si>
  <si>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</si>
  <si>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</si>
  <si>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</si>
  <si>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</si>
  <si>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</si>
  <si>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</si>
  <si>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</si>
  <si>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</si>
  <si>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</si>
  <si>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</si>
  <si>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</si>
  <si>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</si>
  <si>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</si>
  <si>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</si>
  <si>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</si>
  <si>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</si>
  <si>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</si>
  <si>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</si>
  <si>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</si>
  <si>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</si>
  <si>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</si>
  <si>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</si>
  <si>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</si>
  <si>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</si>
  <si>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</si>
  <si>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</si>
  <si>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</si>
  <si>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</si>
  <si>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</si>
  <si>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</si>
  <si>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</si>
  <si>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</si>
  <si>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</si>
  <si>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</si>
  <si>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</si>
  <si>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</si>
  <si>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</si>
  <si>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</si>
  <si>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</si>
  <si>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</si>
  <si>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</si>
  <si>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</si>
  <si>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</si>
  <si>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</si>
  <si>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</si>
  <si>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</si>
  <si>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</si>
  <si>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</si>
  <si>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</si>
  <si>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</si>
  <si>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</si>
  <si>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</si>
  <si>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</si>
  <si>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</si>
  <si>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</si>
  <si>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</si>
  <si>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</si>
  <si>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</si>
  <si>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</si>
  <si>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</si>
  <si>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</si>
  <si>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</si>
  <si>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</si>
  <si>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</si>
  <si>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</si>
  <si>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</si>
  <si>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</si>
  <si>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</si>
  <si>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</si>
  <si>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</si>
  <si>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</si>
  <si>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</si>
  <si>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</si>
  <si>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</si>
  <si>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</si>
  <si>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</si>
  <si>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</si>
  <si>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</si>
  <si>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</si>
  <si>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</si>
  <si>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</si>
  <si>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</si>
  <si>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</si>
  <si>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</si>
  <si>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</si>
  <si>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</si>
  <si>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</si>
  <si>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</si>
  <si>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</si>
  <si>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</si>
  <si>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</si>
  <si>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</si>
  <si>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</si>
  <si>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</si>
  <si>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</si>
  <si>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</si>
  <si>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</si>
  <si>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</si>
  <si>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</si>
  <si>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</si>
  <si>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</si>
  <si>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</si>
  <si>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</si>
  <si>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</si>
  <si>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</si>
  <si>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</si>
  <si>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</si>
  <si>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</si>
  <si>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</si>
  <si>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</si>
  <si>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</si>
  <si>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</si>
  <si>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</si>
  <si>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</si>
  <si>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</si>
  <si>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</si>
  <si>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</si>
  <si>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</si>
  <si>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</si>
  <si>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</si>
  <si>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</si>
  <si>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</si>
  <si>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</si>
  <si>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</si>
  <si>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</si>
  <si>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</si>
  <si>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</si>
  <si>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</si>
  <si>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</si>
  <si>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</si>
  <si>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</si>
  <si>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</si>
  <si>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</si>
  <si>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</si>
  <si>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</si>
  <si>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</si>
  <si>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</si>
  <si>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</si>
  <si>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</si>
  <si>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</si>
  <si>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</si>
  <si>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</si>
  <si>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</si>
  <si>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</si>
  <si>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</si>
  <si>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</si>
  <si>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</si>
  <si>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</si>
  <si>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</si>
  <si>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</si>
  <si>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</si>
  <si>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</si>
  <si>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</si>
  <si>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</si>
  <si>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</si>
  <si>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</si>
  <si>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</si>
  <si>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</si>
  <si>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</si>
  <si>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</si>
  <si>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</si>
  <si>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</si>
  <si>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</si>
  <si>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</si>
  <si>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</si>
  <si>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</si>
  <si>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</si>
  <si>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</si>
  <si>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</si>
  <si>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</si>
  <si>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</si>
  <si>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</si>
  <si>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</si>
  <si>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</si>
  <si>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</si>
  <si>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</si>
  <si>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</si>
  <si>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</si>
  <si>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</si>
  <si>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</si>
  <si>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</si>
  <si>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</si>
  <si>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</si>
  <si>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</si>
  <si>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</si>
  <si>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</si>
  <si>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</si>
  <si>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</si>
  <si>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</si>
  <si>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</si>
  <si>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</si>
  <si>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</si>
  <si>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</si>
  <si>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</si>
  <si>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</si>
  <si>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</si>
  <si>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</si>
  <si>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</si>
  <si>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</si>
  <si>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</si>
  <si>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</si>
  <si>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</si>
  <si>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</si>
  <si>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</si>
  <si>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</si>
  <si>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</si>
  <si>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</si>
  <si>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</si>
  <si>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</si>
  <si>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</si>
  <si>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</si>
  <si>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</si>
  <si>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</si>
  <si>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</si>
  <si>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</si>
  <si>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</si>
  <si>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</si>
  <si>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</si>
  <si>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</si>
  <si>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</si>
  <si>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</si>
  <si>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</si>
  <si>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</si>
  <si>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</si>
  <si>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</si>
  <si>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</si>
  <si>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</si>
  <si>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</si>
  <si>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</si>
  <si>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</si>
  <si>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</si>
  <si>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</si>
  <si>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</si>
  <si>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</si>
  <si>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</si>
  <si>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</si>
  <si>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</si>
  <si>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</si>
  <si>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</si>
  <si>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</si>
  <si>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</si>
  <si>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</si>
  <si>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</si>
  <si>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</si>
  <si>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</si>
  <si>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</si>
  <si>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</si>
  <si>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</si>
  <si>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</si>
  <si>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</si>
  <si>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</si>
  <si>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</si>
  <si>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</si>
  <si>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</si>
  <si>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</si>
  <si>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</si>
  <si>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</si>
  <si>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</si>
  <si>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</si>
  <si>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</si>
  <si>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</si>
  <si>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</si>
  <si>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</si>
  <si>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</si>
  <si>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</si>
  <si>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</si>
  <si>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</si>
  <si>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</si>
  <si>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</si>
  <si>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</si>
  <si>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</si>
  <si>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</si>
  <si>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</si>
  <si>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</si>
  <si>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</si>
  <si>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</si>
  <si>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</si>
  <si>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</si>
  <si>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</si>
  <si>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</si>
  <si>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</si>
  <si>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</si>
  <si>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</si>
  <si>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</si>
  <si>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</si>
  <si>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</si>
  <si>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</si>
  <si>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</si>
  <si>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</si>
  <si>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</si>
  <si>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</si>
  <si>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</si>
  <si>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</si>
  <si>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</si>
  <si>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</si>
  <si>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</si>
  <si>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</si>
  <si>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</si>
  <si>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</si>
  <si>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</si>
  <si>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</si>
  <si>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</si>
  <si>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</si>
  <si>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</si>
  <si>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</si>
  <si>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</si>
  <si>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</si>
  <si>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</si>
  <si>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</si>
  <si>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</si>
  <si>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</si>
  <si>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</si>
  <si>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</si>
  <si>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</si>
  <si>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</si>
  <si>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</si>
  <si>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</si>
  <si>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</si>
  <si>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</si>
  <si>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</si>
  <si>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</si>
  <si>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</si>
  <si>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</si>
  <si>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</si>
  <si>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</si>
  <si>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</si>
  <si>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</si>
  <si>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</si>
  <si>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</si>
  <si>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</si>
  <si>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</si>
  <si>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</si>
  <si>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</si>
  <si>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</si>
  <si>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</si>
  <si>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</si>
  <si>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</si>
  <si>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</si>
  <si>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</si>
  <si>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</si>
  <si>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</si>
  <si>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</si>
  <si>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</si>
  <si>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</si>
  <si>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</si>
  <si>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</si>
  <si>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</si>
  <si>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</si>
  <si>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</si>
  <si>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</si>
  <si>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</si>
  <si>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</si>
  <si>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</si>
  <si>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</si>
  <si>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</si>
  <si>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</si>
  <si>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</si>
  <si>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</si>
  <si>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</si>
  <si>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</si>
  <si>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</si>
  <si>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</si>
  <si>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</si>
  <si>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</si>
  <si>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</si>
  <si>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</si>
  <si>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</si>
  <si>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</si>
  <si>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</si>
  <si>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</si>
  <si>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</si>
  <si>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</si>
  <si>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</si>
  <si>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</si>
  <si>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</si>
  <si>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</si>
  <si>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</si>
  <si>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</si>
  <si>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</si>
  <si>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</si>
  <si>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</si>
  <si>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</si>
  <si>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</si>
  <si>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</si>
  <si>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</si>
  <si>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</si>
  <si>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</si>
  <si>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</si>
  <si>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</si>
  <si>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</si>
  <si>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</si>
  <si>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</si>
  <si>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</si>
  <si>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</si>
  <si>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</si>
  <si>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</si>
  <si>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</si>
  <si>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</si>
  <si>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</si>
  <si>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</si>
  <si>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</si>
  <si>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</si>
  <si>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</si>
  <si>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</si>
  <si>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</si>
  <si>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</si>
  <si>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</si>
  <si>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</si>
  <si>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</si>
  <si>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</si>
  <si>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</si>
  <si>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</si>
  <si>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</si>
  <si>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</si>
  <si>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</si>
  <si>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</si>
  <si>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</si>
  <si>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</si>
  <si>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</si>
  <si>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</si>
  <si>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</si>
  <si>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</si>
  <si>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</si>
  <si>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</si>
  <si>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</si>
  <si>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</si>
  <si>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</si>
  <si>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</si>
  <si>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</si>
  <si>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</si>
  <si>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</si>
  <si>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</si>
  <si>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</si>
  <si>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</si>
  <si>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</si>
  <si>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</si>
  <si>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</si>
  <si>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</si>
  <si>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</si>
  <si>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</si>
  <si>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</si>
  <si>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</si>
  <si>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</si>
  <si>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</si>
  <si>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</si>
  <si>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</si>
  <si>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</si>
  <si>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</si>
  <si>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</si>
  <si>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</si>
  <si>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</si>
  <si>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</si>
  <si>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</si>
  <si>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</si>
  <si>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</si>
  <si>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</si>
  <si>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</si>
  <si>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</si>
  <si>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</si>
  <si>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</si>
  <si>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</si>
  <si>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</si>
  <si>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</si>
  <si>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</si>
  <si>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</si>
  <si>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</si>
  <si>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</si>
  <si>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</si>
  <si>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</si>
  <si>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</si>
  <si>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</si>
  <si>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</si>
  <si>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</si>
  <si>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</si>
  <si>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</si>
  <si>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</si>
  <si>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</si>
  <si>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</si>
  <si>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</si>
  <si>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</si>
  <si>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</si>
  <si>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</si>
  <si>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</si>
  <si>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</si>
  <si>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</si>
  <si>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</si>
  <si>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</si>
  <si>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</si>
  <si>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</si>
  <si>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</si>
  <si>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</si>
  <si>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</si>
  <si>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</si>
  <si>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</si>
  <si>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</si>
  <si>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</si>
  <si>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</si>
  <si>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</si>
  <si>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</si>
  <si>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</si>
  <si>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</si>
  <si>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</si>
  <si>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</si>
  <si>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</si>
  <si>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</si>
  <si>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</si>
  <si>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</si>
  <si>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</si>
  <si>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</si>
  <si>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</si>
  <si>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</si>
  <si>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</si>
  <si>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</si>
  <si>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</si>
  <si>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</si>
  <si>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</si>
  <si>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</si>
  <si>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</si>
  <si>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</si>
  <si>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</si>
  <si>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</si>
  <si>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</si>
  <si>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</si>
  <si>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</si>
  <si>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</si>
  <si>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</si>
  <si>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</si>
  <si>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</si>
  <si>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</si>
  <si>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</si>
  <si>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</si>
  <si>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</si>
  <si>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</si>
  <si>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</si>
  <si>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</si>
  <si>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</si>
  <si>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</si>
  <si>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</si>
  <si>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</si>
  <si>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</si>
  <si>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</si>
  <si>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</si>
  <si>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</si>
  <si>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</si>
  <si>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</si>
  <si>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</si>
  <si>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</si>
  <si>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</si>
  <si>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</si>
  <si>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</si>
  <si>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</si>
  <si>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</si>
  <si>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</si>
  <si>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</si>
  <si>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</si>
  <si>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</si>
  <si>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</si>
  <si>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</si>
  <si>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</si>
  <si>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</si>
  <si>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</si>
  <si>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</si>
  <si>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</si>
  <si>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</si>
  <si>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</si>
  <si>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</si>
  <si>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</si>
  <si>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</si>
  <si>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</si>
  <si>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</si>
  <si>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</si>
  <si>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</si>
  <si>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</si>
  <si>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</si>
  <si>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</si>
  <si>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</si>
  <si>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</si>
  <si>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</si>
  <si>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</si>
  <si>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</si>
  <si>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</si>
  <si>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</si>
  <si>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</si>
  <si>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</si>
  <si>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</si>
  <si>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</si>
  <si>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</si>
  <si>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</si>
  <si>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</si>
  <si>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</si>
  <si>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</si>
  <si>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</si>
  <si>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</si>
  <si>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</si>
  <si>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</si>
  <si>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</si>
  <si>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</si>
  <si>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</si>
  <si>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</si>
  <si>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</si>
  <si>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</si>
  <si>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</si>
  <si>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</si>
  <si>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</si>
  <si>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</si>
  <si>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</si>
  <si>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</si>
  <si>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</si>
  <si>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</si>
  <si>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</si>
  <si>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</si>
  <si>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</si>
  <si>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</si>
  <si>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</si>
  <si>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</si>
  <si>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</si>
  <si>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</si>
  <si>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</si>
  <si>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</si>
  <si>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</si>
  <si>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</si>
  <si>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</si>
  <si>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</si>
  <si>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</si>
  <si>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</si>
  <si>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</si>
  <si>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</si>
  <si>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</si>
  <si>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</si>
  <si>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</si>
  <si>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</si>
  <si>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</si>
  <si>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</si>
  <si>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</si>
  <si>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</si>
  <si>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</si>
  <si>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</si>
  <si>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</si>
  <si>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</si>
  <si>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</si>
  <si>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</si>
  <si>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</si>
  <si>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</si>
  <si>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</si>
  <si>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</si>
  <si>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</si>
  <si>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</si>
  <si>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</si>
  <si>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</si>
  <si>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</si>
  <si>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</si>
  <si>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</si>
  <si>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</si>
  <si>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</si>
  <si>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</si>
  <si>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</si>
  <si>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</si>
  <si>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</si>
  <si>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</si>
  <si>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</si>
  <si>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</si>
  <si>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</si>
  <si>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</si>
  <si>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</si>
  <si>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</si>
  <si>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</si>
  <si>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</si>
  <si>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</si>
  <si>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</si>
  <si>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</si>
  <si>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</si>
  <si>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</si>
  <si>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</si>
  <si>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</si>
  <si>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</si>
  <si>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</si>
  <si>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</si>
  <si>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</si>
  <si>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</si>
  <si>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</si>
  <si>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</si>
  <si>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</si>
  <si>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</si>
  <si>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</si>
  <si>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</si>
  <si>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</si>
  <si>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</si>
  <si>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</si>
  <si>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</si>
  <si>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</si>
  <si>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</si>
  <si>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</si>
  <si>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</si>
  <si>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</si>
  <si>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</si>
  <si>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</si>
  <si>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</si>
  <si>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</si>
  <si>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</si>
  <si>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</si>
  <si>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</si>
  <si>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</si>
  <si>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</si>
  <si>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</si>
  <si>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</si>
  <si>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</si>
  <si>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</si>
  <si>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</si>
  <si>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</si>
  <si>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</si>
  <si>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</si>
  <si>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</si>
  <si>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</si>
  <si>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</si>
  <si>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</si>
  <si>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</si>
  <si>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</si>
  <si>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</si>
  <si>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</si>
  <si>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</si>
  <si>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</si>
  <si>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</si>
  <si>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</si>
  <si>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</si>
  <si>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</si>
  <si>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</si>
  <si>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</si>
  <si>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</si>
  <si>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</si>
  <si>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</si>
  <si>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</si>
  <si>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</si>
  <si>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</si>
  <si>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</si>
  <si>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</si>
  <si>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</si>
  <si>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</si>
  <si>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</si>
  <si>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</si>
  <si>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</si>
  <si>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</si>
  <si>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</si>
  <si>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</si>
  <si>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</si>
  <si>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</si>
  <si>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</si>
  <si>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</si>
  <si>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</si>
  <si>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</si>
  <si>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</si>
  <si>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</si>
  <si>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</si>
  <si>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</si>
  <si>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</si>
  <si>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</si>
  <si>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</si>
  <si>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</si>
  <si>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</si>
  <si>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</si>
  <si>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</si>
  <si>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</si>
  <si>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</si>
  <si>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</si>
  <si>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</si>
  <si>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</si>
  <si>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</si>
  <si>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</si>
  <si>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</si>
  <si>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</si>
  <si>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</si>
  <si>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</si>
  <si>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</si>
  <si>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</si>
  <si>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</si>
  <si>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</si>
  <si>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</si>
  <si>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</si>
  <si>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</si>
  <si>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</si>
  <si>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</si>
  <si>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</si>
  <si>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</si>
  <si>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</si>
  <si>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</si>
  <si>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</si>
  <si>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</si>
  <si>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</si>
  <si>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</si>
  <si>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</si>
  <si>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</si>
  <si>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</si>
  <si>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</si>
  <si>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</si>
  <si>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</si>
  <si>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</si>
  <si>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</si>
  <si>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</si>
  <si>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</si>
  <si>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</si>
  <si>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</si>
  <si>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</si>
  <si>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</si>
  <si>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</si>
  <si>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</si>
  <si>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</si>
  <si>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</si>
  <si>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</si>
  <si>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</si>
  <si>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</si>
  <si>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</si>
  <si>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</si>
  <si>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</si>
  <si>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</si>
  <si>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</si>
  <si>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</si>
  <si>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</si>
  <si>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</si>
  <si>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</si>
  <si>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</si>
  <si>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</si>
  <si>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</si>
  <si>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</si>
  <si>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</si>
  <si>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</si>
  <si>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</si>
  <si>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</si>
  <si>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</si>
  <si>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</si>
  <si>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</si>
  <si>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</si>
  <si>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</si>
  <si>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</si>
  <si>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</si>
  <si>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</si>
  <si>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</si>
  <si>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</si>
  <si>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</si>
  <si>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</si>
  <si>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</si>
  <si>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</si>
  <si>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</si>
  <si>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</si>
  <si>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</si>
  <si>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</si>
  <si>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</si>
  <si>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</si>
  <si>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</si>
  <si>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</si>
  <si>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</si>
  <si>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</si>
  <si>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</si>
  <si>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</si>
  <si>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</si>
  <si>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</si>
  <si>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</si>
  <si>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</si>
  <si>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</si>
  <si>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</si>
  <si>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</si>
  <si>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</si>
  <si>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</si>
  <si>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</si>
  <si>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</si>
  <si>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</si>
  <si>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</si>
  <si>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</si>
  <si>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</si>
  <si>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</si>
  <si>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</si>
  <si>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</si>
  <si>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</si>
  <si>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</si>
  <si>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</si>
  <si>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</si>
  <si>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</si>
  <si>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</si>
  <si>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</si>
  <si>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</si>
  <si>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</si>
  <si>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</si>
  <si>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</si>
  <si>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</si>
  <si>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</si>
  <si>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</si>
  <si>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</si>
  <si>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</si>
  <si>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</si>
  <si>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</si>
  <si>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</si>
  <si>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</si>
  <si>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</si>
  <si>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</si>
  <si>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</si>
  <si>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</si>
  <si>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</si>
  <si>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</si>
  <si>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</si>
  <si>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</si>
  <si>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</si>
  <si>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</si>
  <si>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</si>
  <si>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</si>
  <si>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</si>
  <si>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</si>
  <si>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</si>
  <si>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</si>
  <si>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</si>
  <si>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</si>
  <si>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</si>
  <si>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刘梅</t>
  </si>
  <si>
    <t>吴薇</t>
  </si>
  <si>
    <t>北京富力城房地产开发有限公司</t>
    <phoneticPr fontId="7" type="noConversion"/>
  </si>
  <si>
    <t>北京富力城房地产开发有限公司</t>
    <phoneticPr fontId="7" type="noConversion"/>
  </si>
  <si>
    <t>抵押</t>
  </si>
  <si>
    <t>房地产抵押价值</t>
  </si>
  <si>
    <t>北京市</t>
  </si>
  <si>
    <r>
      <rPr>
        <sz val="12"/>
        <color theme="9" tint="-0.249977111117893"/>
        <rFont val="宋体"/>
        <family val="3"/>
        <charset val="134"/>
      </rPr>
      <t>朝阳区东三环中路</t>
    </r>
    <r>
      <rPr>
        <sz val="12"/>
        <color theme="9" tint="-0.249977111117893"/>
        <rFont val="Arial"/>
        <family val="2"/>
      </rPr>
      <t>65</t>
    </r>
    <r>
      <rPr>
        <sz val="12"/>
        <color theme="9" tint="-0.249977111117893"/>
        <rFont val="宋体"/>
        <family val="3"/>
        <charset val="134"/>
      </rPr>
      <t>号楼</t>
    </r>
    <phoneticPr fontId="7" type="noConversion"/>
  </si>
  <si>
    <t>企业</t>
  </si>
  <si>
    <t>北京富力城房地产开发有限公司</t>
    <phoneticPr fontId="7" type="noConversion"/>
  </si>
  <si>
    <t>出让</t>
  </si>
  <si>
    <r>
      <rPr>
        <sz val="12"/>
        <color theme="9" tint="-0.249977111117893"/>
        <rFont val="宋体"/>
        <family val="3"/>
        <charset val="134"/>
      </rPr>
      <t>商业</t>
    </r>
    <r>
      <rPr>
        <sz val="12"/>
        <color theme="9" tint="-0.249977111117893"/>
        <rFont val="Arial"/>
        <family val="2"/>
      </rPr>
      <t>24.9</t>
    </r>
    <r>
      <rPr>
        <sz val="12"/>
        <color theme="9" tint="-0.249977111117893"/>
        <rFont val="宋体"/>
        <family val="3"/>
        <charset val="134"/>
      </rPr>
      <t>年、地下车库及地下仓储</t>
    </r>
    <r>
      <rPr>
        <sz val="12"/>
        <color theme="9" tint="-0.249977111117893"/>
        <rFont val="Arial"/>
        <family val="2"/>
      </rPr>
      <t>34.9</t>
    </r>
    <r>
      <rPr>
        <sz val="12"/>
        <color theme="9" tint="-0.249977111117893"/>
        <rFont val="宋体"/>
        <family val="3"/>
        <charset val="134"/>
      </rPr>
      <t>年</t>
    </r>
    <phoneticPr fontId="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</si>
  <si>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649957</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</si>
  <si>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0199</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</si>
  <si>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商业、地下车库、地下仓储</t>
    </r>
    <phoneticPr fontId="4" type="noConversion"/>
  </si>
  <si>
    <t>是</t>
  </si>
  <si>
    <t>复印件</t>
  </si>
  <si>
    <r>
      <rPr>
        <sz val="10"/>
        <color theme="9" tint="-0.249977111117893"/>
        <rFont val="宋体"/>
        <family val="3"/>
        <charset val="134"/>
      </rPr>
      <t>北京农村商业银行股份有限公司北七家支行</t>
    </r>
    <phoneticPr fontId="4" type="noConversion"/>
  </si>
  <si>
    <r>
      <rPr>
        <sz val="10"/>
        <color theme="9" tint="-0.249977111117893"/>
        <rFont val="宋体"/>
        <family val="3"/>
        <charset val="134"/>
      </rPr>
      <t>全部</t>
    </r>
    <phoneticPr fontId="4" type="noConversion"/>
  </si>
  <si>
    <r>
      <t>140000</t>
    </r>
    <r>
      <rPr>
        <sz val="10"/>
        <color theme="9" tint="-0.249977111117893"/>
        <rFont val="宋体"/>
        <family val="3"/>
        <charset val="134"/>
      </rPr>
      <t>万元</t>
    </r>
    <phoneticPr fontId="4" type="noConversion"/>
  </si>
  <si>
    <t>商业项目</t>
  </si>
  <si>
    <t>商场</t>
  </si>
  <si>
    <t>否</t>
  </si>
  <si>
    <t>现房</t>
  </si>
  <si>
    <t>正常</t>
    <phoneticPr fontId="7" type="noConversion"/>
  </si>
  <si>
    <t>通路</t>
  </si>
  <si>
    <t>通电</t>
  </si>
  <si>
    <t>通讯</t>
  </si>
  <si>
    <t>通上水</t>
  </si>
  <si>
    <t>通下水</t>
  </si>
  <si>
    <t>通热</t>
  </si>
  <si>
    <t>燃气</t>
  </si>
  <si>
    <r>
      <t>地下</t>
    </r>
    <r>
      <rPr>
        <sz val="11"/>
        <color theme="1"/>
        <rFont val="宋体"/>
        <family val="3"/>
        <charset val="134"/>
        <scheme val="minor"/>
      </rPr>
      <t>3层不分摊</t>
    </r>
    <phoneticPr fontId="144" type="noConversion"/>
  </si>
  <si>
    <t>地下2层不分摊</t>
    <phoneticPr fontId="144" type="noConversion"/>
  </si>
  <si>
    <t>地下1层不分摊</t>
    <phoneticPr fontId="144" type="noConversion"/>
  </si>
  <si>
    <t>01层不分摊</t>
    <phoneticPr fontId="144" type="noConversion"/>
  </si>
  <si>
    <t>02层不分摊</t>
    <phoneticPr fontId="144" type="noConversion"/>
  </si>
  <si>
    <t>03层不分摊</t>
    <phoneticPr fontId="144" type="noConversion"/>
  </si>
  <si>
    <t>07层不分摊</t>
    <phoneticPr fontId="144" type="noConversion"/>
  </si>
  <si>
    <t>地上</t>
  </si>
  <si>
    <t>独立商业</t>
  </si>
  <si>
    <t>地下</t>
  </si>
  <si>
    <t>仓储</t>
  </si>
  <si>
    <t>车库</t>
  </si>
  <si>
    <t>戊类库房</t>
  </si>
  <si>
    <t>车库—商业</t>
  </si>
  <si>
    <t>序号</t>
    <phoneticPr fontId="144" type="noConversion"/>
  </si>
  <si>
    <t>部位</t>
    <phoneticPr fontId="144" type="noConversion"/>
  </si>
  <si>
    <t>建筑面积</t>
    <phoneticPr fontId="144" type="noConversion"/>
  </si>
  <si>
    <t>用途</t>
    <phoneticPr fontId="144" type="noConversion"/>
  </si>
  <si>
    <t>楼层</t>
    <phoneticPr fontId="144" type="noConversion"/>
  </si>
  <si>
    <r>
      <t>地下</t>
    </r>
    <r>
      <rPr>
        <sz val="11"/>
        <color theme="1"/>
        <rFont val="宋体"/>
        <family val="3"/>
        <charset val="134"/>
        <scheme val="minor"/>
      </rPr>
      <t>3层不分摊</t>
    </r>
    <phoneticPr fontId="144" type="noConversion"/>
  </si>
  <si>
    <t>地下车库</t>
    <phoneticPr fontId="144" type="noConversion"/>
  </si>
  <si>
    <t>地下2层不分摊</t>
    <phoneticPr fontId="144" type="noConversion"/>
  </si>
  <si>
    <t>地下1层不分摊</t>
    <phoneticPr fontId="144" type="noConversion"/>
  </si>
  <si>
    <t>自行车库</t>
    <phoneticPr fontId="144" type="noConversion"/>
  </si>
  <si>
    <t>仓储做商业</t>
    <phoneticPr fontId="144" type="noConversion"/>
  </si>
  <si>
    <t>01层不分摊</t>
    <phoneticPr fontId="144" type="noConversion"/>
  </si>
  <si>
    <t>商场</t>
    <phoneticPr fontId="144" type="noConversion"/>
  </si>
  <si>
    <t>02层不分摊</t>
    <phoneticPr fontId="144" type="noConversion"/>
  </si>
  <si>
    <t>03层不分摊</t>
    <phoneticPr fontId="144" type="noConversion"/>
  </si>
  <si>
    <t>07层不分摊</t>
    <phoneticPr fontId="144" type="noConversion"/>
  </si>
  <si>
    <t>餐饮</t>
    <phoneticPr fontId="144" type="noConversion"/>
  </si>
  <si>
    <t>不含消防监控室、电讯机房、有线电视机房</t>
  </si>
  <si>
    <t>地上商业</t>
  </si>
  <si>
    <t>地上商业</t>
    <phoneticPr fontId="8" type="noConversion"/>
  </si>
  <si>
    <t>地下仓储</t>
  </si>
  <si>
    <t>地下仓储</t>
    <phoneticPr fontId="8" type="noConversion"/>
  </si>
  <si>
    <t>地下车库</t>
    <phoneticPr fontId="8" type="noConversion"/>
  </si>
  <si>
    <t>成新度</t>
  </si>
  <si>
    <t>不临58条商业街</t>
  </si>
  <si>
    <t>无</t>
  </si>
  <si>
    <t>500米范围内</t>
  </si>
  <si>
    <t>七通一平</t>
  </si>
  <si>
    <t>一致</t>
  </si>
  <si>
    <t>好</t>
  </si>
  <si>
    <t>较好</t>
  </si>
  <si>
    <t>一般</t>
  </si>
  <si>
    <t>全部缴纳</t>
  </si>
  <si>
    <t>已包含在土地取得成本中</t>
  </si>
  <si>
    <t>未包含在土地购买价格中</t>
  </si>
  <si>
    <t>售价</t>
  </si>
  <si>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</si>
  <si>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</si>
  <si>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</si>
  <si>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</si>
  <si>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</si>
  <si>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</si>
  <si>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</si>
  <si>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</si>
  <si>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</si>
  <si>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</si>
  <si>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</si>
  <si>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</si>
  <si>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</si>
  <si>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t>1层</t>
    <phoneticPr fontId="4" type="noConversion"/>
  </si>
  <si>
    <t>2层</t>
    <phoneticPr fontId="4" type="noConversion"/>
  </si>
  <si>
    <t>3层</t>
    <phoneticPr fontId="4" type="noConversion"/>
  </si>
  <si>
    <t>4层及以上</t>
    <phoneticPr fontId="4" type="noConversion"/>
  </si>
  <si>
    <t>地下1层</t>
    <phoneticPr fontId="4" type="noConversion"/>
  </si>
  <si>
    <t>大型商业综合体</t>
    <phoneticPr fontId="32" type="noConversion"/>
  </si>
  <si>
    <t>商业街商铺</t>
    <phoneticPr fontId="32" type="noConversion"/>
  </si>
  <si>
    <t>独立商业</t>
    <phoneticPr fontId="32" type="noConversion"/>
  </si>
  <si>
    <t>写字楼配套底商</t>
    <phoneticPr fontId="32"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</si>
  <si>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</si>
  <si>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</si>
  <si>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</si>
  <si>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</si>
  <si>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</si>
  <si>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</si>
  <si>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</si>
  <si>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</si>
  <si>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</si>
  <si>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</si>
  <si>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</si>
  <si>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</si>
  <si>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</si>
  <si>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</si>
  <si>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超高层高</t>
    <phoneticPr fontId="4" type="noConversion"/>
  </si>
  <si>
    <t>标准层高</t>
    <phoneticPr fontId="4" type="noConversion"/>
  </si>
  <si>
    <t>0-500</t>
    <phoneticPr fontId="4" type="noConversion"/>
  </si>
  <si>
    <t>500-1000</t>
    <phoneticPr fontId="4" type="noConversion"/>
  </si>
  <si>
    <t>1000-1500</t>
    <phoneticPr fontId="4" type="noConversion"/>
  </si>
  <si>
    <t>1500-2000</t>
    <phoneticPr fontId="4" type="noConversion"/>
  </si>
  <si>
    <r>
      <t>2000</t>
    </r>
    <r>
      <rPr>
        <sz val="11"/>
        <color theme="1"/>
        <rFont val="宋体"/>
        <family val="3"/>
        <charset val="134"/>
      </rPr>
      <t>以上</t>
    </r>
    <phoneticPr fontId="4" type="noConversion"/>
  </si>
  <si>
    <t>适宜</t>
    <phoneticPr fontId="4" type="noConversion"/>
  </si>
  <si>
    <t>较适宜</t>
    <phoneticPr fontId="4" type="noConversion"/>
  </si>
  <si>
    <t>较不适宜</t>
    <phoneticPr fontId="4" type="noConversion"/>
  </si>
  <si>
    <t>正常</t>
  </si>
  <si>
    <t>商业</t>
    <phoneticPr fontId="32" type="noConversion"/>
  </si>
  <si>
    <t>20-30（含）</t>
  </si>
  <si>
    <t>七通</t>
  </si>
  <si>
    <t>多面临街</t>
  </si>
  <si>
    <t>好</t>
    <phoneticPr fontId="32" type="noConversion"/>
  </si>
  <si>
    <t>1层</t>
  </si>
  <si>
    <t>大型商业综合体</t>
  </si>
  <si>
    <t>钢混</t>
  </si>
  <si>
    <t>精装修</t>
  </si>
  <si>
    <t>可餐饮</t>
  </si>
  <si>
    <t>标准层高</t>
  </si>
  <si>
    <t>较适宜</t>
  </si>
  <si>
    <t>不适宜</t>
    <phoneticPr fontId="32" type="noConversion"/>
  </si>
  <si>
    <t>双面临街</t>
  </si>
  <si>
    <t>单面临街</t>
  </si>
  <si>
    <t>一般</t>
    <phoneticPr fontId="32"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</si>
  <si>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</si>
  <si>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</si>
  <si>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</si>
  <si>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</si>
  <si>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层及以上</t>
    </r>
    <phoneticPr fontId="4" type="noConversion"/>
  </si>
  <si>
    <t>住宅底商</t>
  </si>
  <si>
    <t>基准户型（101）</t>
  </si>
  <si>
    <t>简装</t>
  </si>
  <si>
    <t>2层</t>
  </si>
  <si>
    <t>3层</t>
  </si>
  <si>
    <t>4层</t>
  </si>
  <si>
    <t>5层及以上</t>
  </si>
  <si>
    <t>批发零售用地</t>
  </si>
  <si>
    <t>住宅底商</t>
    <phoneticPr fontId="32" type="noConversion"/>
  </si>
  <si>
    <t>成本法-地下仓储</t>
    <phoneticPr fontId="17" type="noConversion"/>
  </si>
  <si>
    <t>成本法-地下车库</t>
    <phoneticPr fontId="17" type="noConversion"/>
  </si>
  <si>
    <t>典型户型修正</t>
  </si>
  <si>
    <t>典型户型修正</t>
    <phoneticPr fontId="17" type="noConversion"/>
  </si>
  <si>
    <t>楼层修正</t>
  </si>
  <si>
    <t>大</t>
  </si>
  <si>
    <t>富力城C区底商</t>
    <phoneticPr fontId="4" type="noConversion"/>
  </si>
  <si>
    <t>合生国际花园商铺</t>
    <phoneticPr fontId="4" type="noConversion"/>
  </si>
  <si>
    <t>时代国际住宅底商</t>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</si>
  <si>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</si>
  <si>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</si>
  <si>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</si>
  <si>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</si>
  <si>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t>地价指数</t>
  </si>
  <si>
    <t>——</t>
    <phoneticPr fontId="144"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</si>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</sst>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1" fillId="0" borderId="0">
      <alignment vertical="center"/>
    </xf>
    <xf numFmtId="0" fontId="57" fillId="0" borderId="0">
      <alignment vertical="center"/>
    </xf>
    <xf numFmtId="9" fontId="1" fillId="0" borderId="0" applyFont="0" applyFill="0" applyBorder="0" applyAlignment="0" applyProtection="0">
      <alignment vertical="center"/>
    </xf>
  </cellStyleXfs>
  <cellXfs count="33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100" fillId="0" borderId="1" xfId="0" applyFont="1" applyFill="1" applyBorder="1" applyProtection="1">
      <alignment vertical="center"/>
      <protection locked="0"/>
    </xf>
    <xf numFmtId="0" fontId="12" fillId="2" borderId="2" xfId="0" applyFont="1" applyFill="1" applyBorder="1" applyAlignment="1" applyProtection="1">
      <alignment horizontal="center" vertical="center" wrapText="1"/>
      <protection locked="0"/>
    </xf>
    <xf numFmtId="0" fontId="0" fillId="0" borderId="1" xfId="0" applyFill="1" applyBorder="1" applyProtection="1">
      <alignment vertical="center"/>
      <protection locked="0"/>
    </xf>
    <xf numFmtId="0" fontId="100" fillId="0" borderId="1" xfId="0" applyFont="1" applyBorder="1">
      <alignment vertical="center"/>
    </xf>
    <xf numFmtId="0" fontId="0" fillId="0" borderId="1" xfId="0" applyFill="1" applyBorder="1">
      <alignment vertical="center"/>
    </xf>
    <xf numFmtId="0" fontId="100" fillId="0" borderId="1" xfId="0" applyFont="1" applyFill="1" applyBorder="1">
      <alignment vertical="center"/>
    </xf>
    <xf numFmtId="0" fontId="0" fillId="0" borderId="1" xfId="0"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255" fillId="5" borderId="1"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57" fillId="17" borderId="1" xfId="0" applyNumberFormat="1" applyFont="1" applyFill="1" applyBorder="1" applyAlignment="1" applyProtection="1">
      <alignment vertical="center" wrapText="1"/>
      <protection locked="0"/>
    </xf>
    <xf numFmtId="10" fontId="105" fillId="17" borderId="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12" fillId="5" borderId="2" xfId="0" applyFont="1" applyFill="1" applyBorder="1" applyAlignment="1" applyProtection="1">
      <alignment horizontal="center" vertical="center" wrapText="1"/>
      <protection locked="0"/>
    </xf>
    <xf numFmtId="3" fontId="105" fillId="18" borderId="10" xfId="0" applyNumberFormat="1" applyFont="1" applyFill="1" applyBorder="1" applyAlignment="1" applyProtection="1">
      <alignment horizontal="center" vertical="center" wrapText="1"/>
      <protection locked="0"/>
    </xf>
    <xf numFmtId="0" fontId="195" fillId="0" borderId="1" xfId="13" applyFont="1" applyBorder="1" applyAlignment="1">
      <alignment horizontal="center" vertical="center"/>
    </xf>
    <xf numFmtId="0" fontId="257" fillId="0" borderId="82" xfId="0" applyFont="1" applyBorder="1">
      <alignment vertical="center"/>
    </xf>
    <xf numFmtId="0" fontId="257" fillId="0" borderId="81" xfId="0" applyFont="1" applyBorder="1">
      <alignment vertical="center"/>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0" fillId="0" borderId="1" xfId="0" applyFill="1" applyBorder="1" applyAlignment="1">
      <alignment horizontal="center" vertical="center"/>
    </xf>
  </cellXfs>
  <cellStyles count="23">
    <cellStyle name="百分比 2" xfId="22"/>
    <cellStyle name="常规" xfId="0" builtinId="0"/>
    <cellStyle name="常规 10" xfId="13"/>
    <cellStyle name="常规 13 2" xfId="19"/>
    <cellStyle name="常规 13 2 2" xfId="20"/>
    <cellStyle name="常规 16" xfId="10"/>
    <cellStyle name="常规 2" xfId="1"/>
    <cellStyle name="常规 2 2" xfId="8"/>
    <cellStyle name="常规 3" xfId="2"/>
    <cellStyle name="常规 3 2" xfId="3"/>
    <cellStyle name="常规 4" xfId="4"/>
    <cellStyle name="常规 5" xfId="5"/>
    <cellStyle name="常规 5 2" xfId="18"/>
    <cellStyle name="常规 5 6 5" xfId="16"/>
    <cellStyle name="常规 5 6 7" xfId="17"/>
    <cellStyle name="常规 6" xfId="6"/>
    <cellStyle name="常规 6 2" xfId="9"/>
    <cellStyle name="常规 6 3" xfId="21"/>
    <cellStyle name="常规 7" xfId="7"/>
    <cellStyle name="常规 8" xfId="11"/>
    <cellStyle name="常规 9" xfId="12"/>
    <cellStyle name="货币 2" xfId="15"/>
    <cellStyle name="千位分隔 2" xfId="14"/>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北京市朝阳区东三环中路65号楼房地产抵押价值预评估</v>
      </c>
    </row>
    <row r="3" spans="1:2" s="1596" customFormat="1">
      <c r="A3" s="1594" t="s">
        <v>1221</v>
      </c>
      <c r="B3" s="1595" t="str">
        <f>'预评函-封皮'!B40</f>
        <v>北京富力城房地产开发有限公司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受贵公司委托，我公司对北京市朝阳区东三环中路65号楼房地产抵押价值进行了预评估。</v>
      </c>
    </row>
    <row r="7" spans="1:2" s="1596" customFormat="1">
      <c r="A7" s="1594" t="s">
        <v>1264</v>
      </c>
      <c r="B7" s="1595" t="str">
        <f>'预评函-1'!A7</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2018年1月19日（评估专业人员实地查勘之日）</v>
      </c>
    </row>
    <row r="13" spans="1:2" s="1596" customFormat="1">
      <c r="A13" s="1594" t="s">
        <v>1227</v>
      </c>
      <c r="B13" s="1595" t="str">
        <f>'预评函-1'!A18</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4" spans="1:2" s="1596" customFormat="1">
      <c r="A14" s="1594" t="s">
        <v>1228</v>
      </c>
      <c r="B14" s="1595" t="str">
        <f>'预评函-1'!A19</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411684</v>
      </c>
    </row>
    <row r="21" spans="1:2" s="1596" customFormat="1">
      <c r="A21" s="1594" t="s">
        <v>1235</v>
      </c>
      <c r="B21" s="1595">
        <f ca="1">'预评函-2'!D7</f>
        <v>68623</v>
      </c>
    </row>
    <row r="22" spans="1:2" s="1596" customFormat="1">
      <c r="A22" s="1594" t="s">
        <v>1236</v>
      </c>
      <c r="B22" s="1595" t="str">
        <f ca="1">'预评函-2'!D6</f>
        <v>肆拾壹亿壹仟陆佰捌拾肆万元整</v>
      </c>
    </row>
    <row r="23" spans="1:2" s="1596" customFormat="1">
      <c r="A23" s="1594" t="s">
        <v>1287</v>
      </c>
      <c r="B23" s="1595" t="str">
        <f>'预评函-2'!B8</f>
        <v>2.估价师知悉的法定优先受偿款</v>
      </c>
    </row>
    <row r="24" spans="1:2" s="1596" customFormat="1">
      <c r="A24" s="1594" t="s">
        <v>1293</v>
      </c>
      <c r="B24" s="1595">
        <f>'预评函-2'!D8</f>
        <v>140000</v>
      </c>
    </row>
    <row r="25" spans="1:2" s="1596" customFormat="1">
      <c r="A25" s="1594" t="s">
        <v>1237</v>
      </c>
      <c r="B25" s="1595" t="str">
        <f>'预评函-2'!D9</f>
        <v>壹拾肆亿元整</v>
      </c>
    </row>
    <row r="26" spans="1:2" s="1596" customFormat="1">
      <c r="A26" s="1594" t="s">
        <v>1238</v>
      </c>
      <c r="B26" s="1595">
        <f>'预评函-2'!D10</f>
        <v>140000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271684</v>
      </c>
    </row>
    <row r="31" spans="1:2" s="1596" customFormat="1">
      <c r="A31" s="1594" t="s">
        <v>1274</v>
      </c>
      <c r="B31" s="1595">
        <f ca="1">'预评函-2'!D15</f>
        <v>27847</v>
      </c>
    </row>
    <row r="32" spans="1:2" s="1596" customFormat="1">
      <c r="A32" s="1594" t="s">
        <v>1241</v>
      </c>
      <c r="B32" s="1595" t="str">
        <f ca="1">'预评函-2'!D14</f>
        <v>贰拾柒亿壹仟陆佰捌拾肆万元整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北京市朝阳区东三环中路65号楼房地产</v>
      </c>
    </row>
    <row r="42" spans="1:2" s="1596" customFormat="1">
      <c r="A42" s="1594" t="s">
        <v>1288</v>
      </c>
      <c r="B42" s="1595" t="str">
        <f>'预评函-3'!B2</f>
        <v>建筑面积</v>
      </c>
    </row>
    <row r="43" spans="1:2" s="1596" customFormat="1">
      <c r="A43" s="1594" t="s">
        <v>1289</v>
      </c>
      <c r="B43" s="1595">
        <f>'预评函-3'!B4</f>
        <v>97562.77</v>
      </c>
    </row>
    <row r="44" spans="1:2" s="1596" customFormat="1">
      <c r="A44" s="1594" t="s">
        <v>1273</v>
      </c>
      <c r="B44" s="1595" t="str">
        <f>'预评函-3'!C2</f>
        <v>(分摊)土地面积</v>
      </c>
    </row>
    <row r="45" spans="1:2" s="1596" customFormat="1">
      <c r="A45" s="1594" t="s">
        <v>1245</v>
      </c>
      <c r="B45" s="1595">
        <f>'预评函-3'!C4</f>
        <v>12702.55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故，本次评估估价师知悉的法定优先受偿款为人民币140000万元整。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3202</v>
      </c>
      <c r="C17" s="2018"/>
    </row>
    <row r="18" spans="1:3">
      <c r="A18" s="2017" t="s">
        <v>1768</v>
      </c>
      <c r="B18" s="2017" t="s">
        <v>3203</v>
      </c>
      <c r="C18" s="2018"/>
    </row>
    <row r="19" spans="1:3">
      <c r="A19" s="2017" t="s">
        <v>1769</v>
      </c>
      <c r="B19" s="2017" t="s">
        <v>3205</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65号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20" sqref="H2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3022" t="str">
        <f>IF(B10="北京市","北京市",C10)&amp;F10&amp;IF(结果表!G1="在建","出让国有建设用地使用权及在建建筑物",IF(结果表!G1="土地","出让国有建设用地使用权",))&amp;B9&amp;"预评估"</f>
        <v>北京市朝阳区东三环中路65号楼房地产抵押价值预评估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北京市朝阳区东三环中路65号楼房地产抵押价值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北京市朝阳区东三环中路65号楼房地产</v>
      </c>
    </row>
    <row r="3" spans="1:19" ht="18" customHeight="1">
      <c r="A3" s="2038" t="s">
        <v>1779</v>
      </c>
      <c r="B3" s="2039">
        <v>43119</v>
      </c>
      <c r="C3" s="2040" t="s">
        <v>1780</v>
      </c>
      <c r="D3" s="2039">
        <v>43119</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940"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941" t="s">
        <v>3046</v>
      </c>
      <c r="C7" s="2052"/>
      <c r="D7" s="2053"/>
      <c r="E7" s="2037"/>
      <c r="F7" s="2045"/>
      <c r="G7" s="2045"/>
      <c r="H7" s="2045"/>
      <c r="I7" s="2045"/>
      <c r="J7" s="2045"/>
      <c r="K7" s="2055"/>
      <c r="L7" s="2031"/>
      <c r="M7" s="2031"/>
      <c r="N7" s="2032"/>
      <c r="O7" s="2033"/>
      <c r="P7" s="2032"/>
      <c r="Q7" s="2032"/>
      <c r="R7" s="2032"/>
    </row>
    <row r="8" spans="1:19" ht="18" customHeight="1">
      <c r="A8" s="2050" t="s">
        <v>1785</v>
      </c>
      <c r="B8" s="2056" t="s">
        <v>3047</v>
      </c>
      <c r="C8" s="2057"/>
      <c r="D8" s="3025"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3026"/>
      <c r="E9" s="2060" t="s">
        <v>70</v>
      </c>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3050</v>
      </c>
      <c r="G10" s="2069"/>
      <c r="H10" s="2070"/>
      <c r="I10" s="2049"/>
      <c r="J10" s="2045"/>
      <c r="K10" s="2055"/>
      <c r="L10" s="2031"/>
      <c r="M10" s="2031"/>
      <c r="N10" s="2032"/>
      <c r="O10" s="2033"/>
      <c r="P10" s="2032"/>
      <c r="Q10" s="2032"/>
      <c r="R10" s="2032"/>
    </row>
    <row r="11" spans="1:19" ht="18" customHeight="1">
      <c r="A11" s="2071" t="s">
        <v>1790</v>
      </c>
      <c r="B11" s="2072" t="s">
        <v>3051</v>
      </c>
      <c r="C11" s="2942" t="s">
        <v>3052</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3053</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v>51980</v>
      </c>
      <c r="F13" s="2080"/>
      <c r="G13" s="2080">
        <v>55633</v>
      </c>
      <c r="H13" s="2080">
        <v>55633</v>
      </c>
      <c r="I13" s="1050"/>
      <c r="J13" s="2045"/>
      <c r="K13" s="2055"/>
      <c r="L13" s="2031"/>
      <c r="M13" s="2031"/>
      <c r="N13" s="2032"/>
      <c r="O13" s="2033"/>
      <c r="P13" s="2032"/>
      <c r="Q13" s="2032"/>
      <c r="R13" s="2032"/>
    </row>
    <row r="14" spans="1:19" ht="18" customHeight="1">
      <c r="A14" s="2077"/>
      <c r="B14" s="2078"/>
      <c r="C14" s="2079" t="s">
        <v>1800</v>
      </c>
      <c r="D14" s="1053"/>
      <c r="E14" s="1053">
        <v>40</v>
      </c>
      <c r="F14" s="1053"/>
      <c r="G14" s="1053">
        <v>50</v>
      </c>
      <c r="H14" s="1053">
        <v>50</v>
      </c>
      <c r="I14" s="1053"/>
      <c r="J14" s="2045"/>
      <c r="K14" s="2081"/>
      <c r="L14" s="2031"/>
      <c r="M14" s="2031"/>
      <c r="N14" s="2032"/>
      <c r="O14" s="2033"/>
      <c r="P14" s="2032"/>
      <c r="Q14" s="2032"/>
      <c r="R14" s="2032"/>
    </row>
    <row r="15" spans="1:19" ht="18" customHeight="1">
      <c r="A15" s="2064"/>
      <c r="B15" s="2082"/>
      <c r="C15" s="2079" t="s">
        <v>1801</v>
      </c>
      <c r="D15" s="1052" t="str">
        <f>IF(B12="出让",IF(D13="","",ROUNDDOWN(MIN((D13-$D$3)/365,D14),2)),D14)</f>
        <v/>
      </c>
      <c r="E15" s="1052">
        <f>IF(B12="出让",IF(E13="","",ROUNDDOWN(MIN((E13-$D$3)/365,E14),2)),E14)</f>
        <v>24.27</v>
      </c>
      <c r="F15" s="1052" t="str">
        <f>IF(B12="出让",IF(F13="","",ROUNDDOWN(MIN((F13-$D$3)/365,F14),2)),F14)</f>
        <v/>
      </c>
      <c r="G15" s="1052">
        <f>IF(B12="出让",IF(G13="","",ROUNDDOWN(MIN((G13-$D$3)/365,G14),2)),G14)</f>
        <v>34.28</v>
      </c>
      <c r="H15" s="1052">
        <f>IF(B12="出让",IF(H13="","",ROUNDDOWN(MIN((H13-$D$3)/365,H14),2)),H14)</f>
        <v>34.28</v>
      </c>
      <c r="I15" s="1052" t="str">
        <f>IF(B12="出让",IF(I13="","",ROUNDDOWN(MIN((I13-$D$3)/365,I14),2)),I14)</f>
        <v/>
      </c>
      <c r="J15" s="2045"/>
      <c r="K15" s="2083"/>
      <c r="L15" s="2084"/>
      <c r="M15" s="2084"/>
      <c r="N15" s="2085"/>
      <c r="O15" s="2084"/>
      <c r="P15" s="2085"/>
      <c r="Q15" s="2032"/>
      <c r="R15" s="2032"/>
    </row>
    <row r="16" spans="1:19" ht="30.75" customHeight="1">
      <c r="A16" s="2067" t="s">
        <v>1802</v>
      </c>
      <c r="B16" s="3032" t="s">
        <v>3057</v>
      </c>
      <c r="C16" s="3033"/>
      <c r="D16" s="3034"/>
      <c r="E16" s="2086" t="s">
        <v>1803</v>
      </c>
      <c r="F16" s="3035" t="s">
        <v>3054</v>
      </c>
      <c r="G16" s="3036"/>
      <c r="H16" s="3036"/>
      <c r="I16" s="3037"/>
      <c r="J16" s="2032"/>
      <c r="K16" s="2083"/>
      <c r="L16" s="2084"/>
      <c r="M16" s="2084"/>
      <c r="N16" s="2085"/>
      <c r="O16" s="2084"/>
      <c r="P16" s="2085"/>
      <c r="Q16" s="2032"/>
      <c r="R16" s="2032"/>
    </row>
    <row r="17" spans="1:22" ht="18" customHeight="1">
      <c r="A17" s="2087" t="s">
        <v>1804</v>
      </c>
      <c r="B17" s="2038" t="s">
        <v>1805</v>
      </c>
      <c r="C17" s="1057">
        <f>'数据-汇总表'!E3</f>
        <v>97562.77</v>
      </c>
      <c r="D17" s="2088" t="s">
        <v>1806</v>
      </c>
      <c r="E17" s="3038" t="s">
        <v>3055</v>
      </c>
      <c r="F17" s="3039"/>
      <c r="G17" s="3039"/>
      <c r="H17" s="3039"/>
      <c r="I17" s="3040"/>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7">
        <f>'数据-汇总表'!D3</f>
        <v>12702.55</v>
      </c>
      <c r="D18" s="2091" t="s">
        <v>1806</v>
      </c>
      <c r="E18" s="3041" t="s">
        <v>3056</v>
      </c>
      <c r="F18" s="3042"/>
      <c r="G18" s="3042"/>
      <c r="H18" s="3042"/>
      <c r="I18" s="3043"/>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t="s">
        <v>3058</v>
      </c>
      <c r="D19" s="2093" t="s">
        <v>1811</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1812</v>
      </c>
      <c r="B20" s="3028" t="s">
        <v>1813</v>
      </c>
      <c r="C20" s="3029"/>
      <c r="D20" s="3030" t="s">
        <v>1814</v>
      </c>
      <c r="E20" s="3031"/>
      <c r="F20" s="2098" t="s">
        <v>1815</v>
      </c>
      <c r="G20" s="2045"/>
      <c r="H20" s="2045"/>
      <c r="I20" s="2045"/>
      <c r="J20" s="2045"/>
      <c r="K20" s="3027"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1817</v>
      </c>
      <c r="C21" s="2100" t="s">
        <v>3059</v>
      </c>
      <c r="D21" s="2101"/>
      <c r="E21" s="2102" t="s">
        <v>70</v>
      </c>
      <c r="F21" s="2103"/>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1819</v>
      </c>
      <c r="D22" s="2029"/>
      <c r="E22" s="2029"/>
      <c r="F22" s="2105"/>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v>42198</v>
      </c>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t="s">
        <v>3060</v>
      </c>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t="s">
        <v>3061</v>
      </c>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t="s">
        <v>3062</v>
      </c>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5" t="s">
        <v>1826</v>
      </c>
      <c r="B27" s="2064" t="s">
        <v>1827</v>
      </c>
      <c r="C27" s="2120" t="s">
        <v>3063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5"/>
      <c r="B28" s="2038" t="s">
        <v>1828</v>
      </c>
      <c r="C28" s="2122" t="s">
        <v>3064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5"/>
      <c r="B29" s="2038" t="s">
        <v>1829</v>
      </c>
      <c r="C29" s="2125" t="s">
        <v>3065</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6"/>
      <c r="B30" s="2038" t="s">
        <v>1830</v>
      </c>
      <c r="C30" s="3017"/>
      <c r="D30" s="301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9" t="s">
        <v>1831</v>
      </c>
      <c r="B31" s="2127" t="s">
        <v>3066</v>
      </c>
      <c r="C31" s="2128" t="str">
        <f>IF(B31="现房","成新及维护状况正常否",IF(B31="在建","工程状态是否正常",IF(B31="土地","是否闲置","-")))</f>
        <v>成新及维护状况正常否</v>
      </c>
      <c r="D31" s="2129"/>
      <c r="E31" s="2943" t="s">
        <v>3067</v>
      </c>
      <c r="F31" s="2045"/>
      <c r="G31" s="2045"/>
      <c r="H31" s="2045"/>
      <c r="I31" s="2045"/>
      <c r="J31" s="2045"/>
      <c r="K31" s="2054"/>
      <c r="L31" s="2031"/>
      <c r="M31" s="2031"/>
      <c r="N31" s="2032"/>
      <c r="O31" s="2033"/>
      <c r="P31" s="2032"/>
      <c r="Q31" s="2032"/>
      <c r="R31" s="2032"/>
      <c r="S31" s="2032"/>
      <c r="T31" s="2032"/>
      <c r="U31" s="2032"/>
      <c r="V31" s="2032"/>
    </row>
    <row r="32" spans="1:22" ht="18" customHeight="1">
      <c r="A32" s="302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0"/>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3068</v>
      </c>
      <c r="C34" s="2134" t="s">
        <v>3069</v>
      </c>
      <c r="D34" s="2134" t="s">
        <v>3070</v>
      </c>
      <c r="E34" s="2134" t="s">
        <v>3071</v>
      </c>
      <c r="F34" s="2134" t="s">
        <v>3072</v>
      </c>
      <c r="G34" s="2134" t="s">
        <v>3073</v>
      </c>
      <c r="H34" s="2134" t="s">
        <v>3074</v>
      </c>
      <c r="I34" s="2045"/>
      <c r="J34" s="2045"/>
      <c r="K34" s="1798">
        <f>COUNTIF(B34:H34,"——")</f>
        <v>0</v>
      </c>
      <c r="L34" s="2075" t="s">
        <v>1833</v>
      </c>
      <c r="M34" s="2075" t="s">
        <v>1834</v>
      </c>
      <c r="N34" s="2075" t="s">
        <v>1835</v>
      </c>
      <c r="O34" s="2075" t="s">
        <v>1836</v>
      </c>
      <c r="P34" s="2075" t="s">
        <v>1837</v>
      </c>
      <c r="Q34" s="2075" t="s">
        <v>1838</v>
      </c>
      <c r="R34" s="2075" t="s">
        <v>1839</v>
      </c>
      <c r="S34" s="3014" t="s">
        <v>1840</v>
      </c>
      <c r="T34" s="2135" t="str">
        <f>NUMBERSTRING(7-K34,1)&amp;"通"</f>
        <v>七通</v>
      </c>
      <c r="U34" s="2032"/>
      <c r="V34" s="2032"/>
    </row>
    <row r="35" spans="1:22" ht="18" customHeight="1">
      <c r="A35" s="2136"/>
      <c r="B35" s="3021" t="s">
        <v>1841</v>
      </c>
      <c r="C35" s="3021"/>
      <c r="D35" s="3021"/>
      <c r="E35" s="302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t="s">
        <v>269</v>
      </c>
      <c r="C37" s="2141" t="s">
        <v>269</v>
      </c>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t="s">
        <v>281</v>
      </c>
      <c r="C38" s="2143" t="s">
        <v>322</v>
      </c>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D3" sqref="D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22104.58</v>
      </c>
      <c r="B3" s="14">
        <f>IF(C3="否",G5-AT5,G5)</f>
        <v>100326.75000000001</v>
      </c>
      <c r="C3" s="2169" t="s">
        <v>3058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v>12702.55</v>
      </c>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100326.75000000001</v>
      </c>
      <c r="H5" s="16">
        <f t="shared" ref="H5:AT5" si="0">SUM(H13:H656)</f>
        <v>97562.77</v>
      </c>
      <c r="I5" s="16">
        <f t="shared" si="0"/>
        <v>59992.51999999999</v>
      </c>
      <c r="J5" s="16">
        <f t="shared" si="0"/>
        <v>0</v>
      </c>
      <c r="K5" s="16">
        <f t="shared" si="0"/>
        <v>13672.09</v>
      </c>
      <c r="L5" s="16">
        <f t="shared" si="0"/>
        <v>0</v>
      </c>
      <c r="M5" s="16">
        <f t="shared" si="0"/>
        <v>23898.16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1500.7800000000002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223.74</v>
      </c>
      <c r="AM5" s="16">
        <f t="shared" si="0"/>
        <v>0</v>
      </c>
      <c r="AN5" s="16">
        <f t="shared" si="0"/>
        <v>1277.0400000000002</v>
      </c>
      <c r="AO5" s="16">
        <f t="shared" si="0"/>
        <v>0</v>
      </c>
      <c r="AP5" s="16">
        <f t="shared" si="0"/>
        <v>0</v>
      </c>
      <c r="AQ5" s="16">
        <f t="shared" si="0"/>
        <v>0</v>
      </c>
      <c r="AR5" s="16">
        <f t="shared" si="0"/>
        <v>0</v>
      </c>
      <c r="AS5" s="16">
        <f t="shared" si="0"/>
        <v>0</v>
      </c>
      <c r="AT5" s="16">
        <f t="shared" si="0"/>
        <v>1263.2</v>
      </c>
      <c r="AU5" s="1805"/>
      <c r="AV5" s="15" t="s">
        <v>1876</v>
      </c>
      <c r="AW5" s="1806"/>
      <c r="AX5" s="1806"/>
      <c r="AY5" s="17" t="s">
        <v>3</v>
      </c>
      <c r="AZ5" s="18">
        <f t="shared" ref="AZ5:BT5" si="1">SUM(AZ13:AZ656)</f>
        <v>97562.77</v>
      </c>
      <c r="BA5" s="18">
        <f t="shared" si="1"/>
        <v>97562.77</v>
      </c>
      <c r="BB5" s="18">
        <f t="shared" si="1"/>
        <v>59992.51999999999</v>
      </c>
      <c r="BC5" s="18">
        <f t="shared" si="1"/>
        <v>13672.09</v>
      </c>
      <c r="BD5" s="18">
        <f t="shared" si="1"/>
        <v>23898.16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22104.59</v>
      </c>
      <c r="F6" s="16" t="s">
        <v>1</v>
      </c>
      <c r="G6" s="16" t="s">
        <v>2</v>
      </c>
      <c r="H6" s="20">
        <f>SUMIF(I$12:AB$12,"总值",I6:AB6)</f>
        <v>21495.61</v>
      </c>
      <c r="I6" s="16">
        <f t="shared" ref="I6:AB6" si="2">ROUND($A$3*I5/$B$3,2)</f>
        <v>13217.91</v>
      </c>
      <c r="J6" s="16">
        <f t="shared" si="2"/>
        <v>0</v>
      </c>
      <c r="K6" s="16">
        <f t="shared" si="2"/>
        <v>3012.32</v>
      </c>
      <c r="L6" s="16">
        <f t="shared" si="2"/>
        <v>0</v>
      </c>
      <c r="M6" s="16">
        <f t="shared" si="2"/>
        <v>5265.38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330.66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49.3</v>
      </c>
      <c r="AM6" s="16">
        <f t="shared" si="3"/>
        <v>0</v>
      </c>
      <c r="AN6" s="16">
        <f t="shared" si="3"/>
        <v>281.36</v>
      </c>
      <c r="AO6" s="16">
        <f t="shared" si="3"/>
        <v>0</v>
      </c>
      <c r="AP6" s="16">
        <f t="shared" si="3"/>
        <v>0</v>
      </c>
      <c r="AQ6" s="16">
        <f t="shared" si="3"/>
        <v>0</v>
      </c>
      <c r="AR6" s="16">
        <f t="shared" si="3"/>
        <v>0</v>
      </c>
      <c r="AS6" s="16">
        <f t="shared" si="3"/>
        <v>0</v>
      </c>
      <c r="AT6" s="20">
        <f>IF(C3="是",ROUND($A$3*AT5/$B$3,2),0)</f>
        <v>278.32</v>
      </c>
      <c r="AU6" s="2177"/>
      <c r="AV6" s="15" t="s">
        <v>1877</v>
      </c>
      <c r="AW6" s="2175"/>
      <c r="AX6" s="2175"/>
      <c r="AY6" s="21">
        <f>IF(AY3&gt;0,AY3,ROUND($A$3*AZ5/$B$3,2))</f>
        <v>12702.55</v>
      </c>
      <c r="AZ6" s="16" t="s">
        <v>3</v>
      </c>
      <c r="BA6" s="16">
        <f>ROUND($AY$6*BA5/$AZ$5,2)</f>
        <v>12702.55</v>
      </c>
      <c r="BB6" s="16">
        <f>ROUND($AY$6*BB5/$AZ$5,2)</f>
        <v>7810.95</v>
      </c>
      <c r="BC6" s="16">
        <f t="shared" ref="BC6:BH6" si="4">ROUND($AY$6*BC5/$AZ$5,2)</f>
        <v>1780.09</v>
      </c>
      <c r="BD6" s="16">
        <f t="shared" si="4"/>
        <v>3111.51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3082</v>
      </c>
      <c r="J9" s="984"/>
      <c r="K9" s="2192" t="s">
        <v>3084</v>
      </c>
      <c r="L9" s="984"/>
      <c r="M9" s="2192" t="s">
        <v>3084</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3085</v>
      </c>
      <c r="L10" s="984"/>
      <c r="M10" s="2198" t="s">
        <v>3088</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3083</v>
      </c>
      <c r="J11" s="2204"/>
      <c r="K11" s="2203" t="s">
        <v>3087</v>
      </c>
      <c r="L11" s="2204"/>
      <c r="M11" s="2203" t="s">
        <v>3086</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仓储</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戊类库房</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25.5">
      <c r="A13" s="1275"/>
      <c r="B13" s="1275"/>
      <c r="C13" s="2944" t="s">
        <v>3075</v>
      </c>
      <c r="D13" s="2964" t="s">
        <v>3065</v>
      </c>
      <c r="E13" s="16">
        <f>IF($C$3="是",ROUND($A$3*G13/$B$3,2),ROUND($A$3*(G13-AT13)/$B$3,2))</f>
        <v>4.04</v>
      </c>
      <c r="F13" s="32"/>
      <c r="G13" s="33">
        <f>H13+AC13+AT13</f>
        <v>18.329999999999998</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18.329999999999998</v>
      </c>
      <c r="AD13" s="2215"/>
      <c r="AE13" s="2215"/>
      <c r="AF13" s="2215"/>
      <c r="AG13" s="2215"/>
      <c r="AH13" s="2215"/>
      <c r="AI13" s="2215"/>
      <c r="AJ13" s="2215"/>
      <c r="AK13" s="2215"/>
      <c r="AL13" s="2215"/>
      <c r="AM13" s="2215"/>
      <c r="AN13" s="2215">
        <v>18.329999999999998</v>
      </c>
      <c r="AO13" s="2215"/>
      <c r="AP13" s="2215"/>
      <c r="AQ13" s="2215"/>
      <c r="AR13" s="2215"/>
      <c r="AS13" s="2215"/>
      <c r="AT13" s="2216"/>
      <c r="AU13" s="2217" t="s">
        <v>3106</v>
      </c>
      <c r="AV13" s="11">
        <f t="shared" ref="AV13:AX17" si="6">A13</f>
        <v>0</v>
      </c>
      <c r="AW13" s="11">
        <f t="shared" si="6"/>
        <v>0</v>
      </c>
      <c r="AX13" s="11" t="str">
        <f t="shared" si="6"/>
        <v>地下3层不分摊</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5">
      <c r="A14" s="1275"/>
      <c r="B14" s="1275"/>
      <c r="C14" s="2946">
        <v>-301</v>
      </c>
      <c r="D14" s="2945" t="s">
        <v>3058</v>
      </c>
      <c r="E14" s="16">
        <f>IF($C$3="是",ROUND($A$3*G14/$B$3,2),ROUND($A$3*(G14-AT14)/$B$3,2))</f>
        <v>1687.89</v>
      </c>
      <c r="F14" s="32"/>
      <c r="G14" s="33">
        <f>H14+AC14+AT14</f>
        <v>7660.9</v>
      </c>
      <c r="H14" s="20">
        <f>SUMIF(I$12:AB$12,"总值",I14:AB14)</f>
        <v>7660.9</v>
      </c>
      <c r="I14" s="2214"/>
      <c r="J14" s="2214"/>
      <c r="K14" s="2214"/>
      <c r="L14" s="2214"/>
      <c r="M14" s="2214">
        <v>7660.9</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-301</v>
      </c>
      <c r="AY14" s="1809">
        <f>ROUND($AY$6*AZ14/$AZ$5,2)</f>
        <v>997.44</v>
      </c>
      <c r="AZ14" s="16">
        <f>BA14+BL14</f>
        <v>7660.9</v>
      </c>
      <c r="BA14" s="16">
        <f>SUM(BB14:BK14)</f>
        <v>7660.9</v>
      </c>
      <c r="BB14" s="16">
        <f>IF($D14="是",I14-J14,0)</f>
        <v>0</v>
      </c>
      <c r="BC14" s="16">
        <f>IF($D14="是",K14-L14,0)</f>
        <v>0</v>
      </c>
      <c r="BD14" s="16">
        <f>IF($D14="是",M14-N14,0)</f>
        <v>7660.9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2944" t="s">
        <v>3076</v>
      </c>
      <c r="D15" s="2945" t="s">
        <v>3065</v>
      </c>
      <c r="E15" s="16">
        <f>IF($C$3="是",ROUND($A$3*G15/$B$3,2),ROUND($A$3*(G15-AT15)/$B$3,2))</f>
        <v>10.59</v>
      </c>
      <c r="F15" s="32"/>
      <c r="G15" s="33">
        <f>H15+AC15+AT15</f>
        <v>48.08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48.08</v>
      </c>
      <c r="AD15" s="2215"/>
      <c r="AE15" s="2215"/>
      <c r="AF15" s="2215"/>
      <c r="AG15" s="2215"/>
      <c r="AH15" s="2215"/>
      <c r="AI15" s="2215"/>
      <c r="AJ15" s="2215"/>
      <c r="AK15" s="2215"/>
      <c r="AL15" s="2215"/>
      <c r="AM15" s="2215"/>
      <c r="AN15" s="2215">
        <v>48.08</v>
      </c>
      <c r="AO15" s="2215"/>
      <c r="AP15" s="2215"/>
      <c r="AQ15" s="2215"/>
      <c r="AR15" s="2215"/>
      <c r="AS15" s="2215"/>
      <c r="AT15" s="2216"/>
      <c r="AU15" s="2217"/>
      <c r="AV15" s="11">
        <f t="shared" si="6"/>
        <v>0</v>
      </c>
      <c r="AW15" s="11">
        <f t="shared" si="6"/>
        <v>0</v>
      </c>
      <c r="AX15" s="11" t="str">
        <f t="shared" si="6"/>
        <v>地下2层不分摊</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5">
      <c r="A16" s="1275"/>
      <c r="B16" s="1275"/>
      <c r="C16" s="2946">
        <v>-201</v>
      </c>
      <c r="D16" s="2945" t="s">
        <v>3058</v>
      </c>
      <c r="E16" s="16">
        <f>IF($C$3="是",ROUND($A$3*G16/$B$3,2),ROUND($A$3*(G16-AT16)/$B$3,2))</f>
        <v>1832.34</v>
      </c>
      <c r="F16" s="32"/>
      <c r="G16" s="33">
        <f>H16+AC16+AT16</f>
        <v>8316.48</v>
      </c>
      <c r="H16" s="20">
        <f>SUMIF(I$12:AB$12,"总值",I16:AB16)</f>
        <v>8316.48</v>
      </c>
      <c r="I16" s="2214"/>
      <c r="J16" s="2214"/>
      <c r="K16" s="2214"/>
      <c r="L16" s="2214"/>
      <c r="M16" s="2214">
        <v>8316.48</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-201</v>
      </c>
      <c r="AY16" s="1809">
        <f>ROUND($AY$6*AZ16/$AZ$5,2)</f>
        <v>1082.8</v>
      </c>
      <c r="AZ16" s="16">
        <f>BA16+BL16</f>
        <v>8316.48</v>
      </c>
      <c r="BA16" s="16">
        <f>SUM(BB16:BK16)</f>
        <v>8316.48</v>
      </c>
      <c r="BB16" s="16">
        <f>IF($D16="是",I16-J16,0)</f>
        <v>0</v>
      </c>
      <c r="BC16" s="16">
        <f>IF($D16="是",K16-L16,0)</f>
        <v>0</v>
      </c>
      <c r="BD16" s="16">
        <f>IF($D16="是",M16-N16,0)</f>
        <v>8316.48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5">
      <c r="A17" s="1275"/>
      <c r="B17" s="1275"/>
      <c r="C17" s="2946">
        <v>-202</v>
      </c>
      <c r="D17" s="2945" t="s">
        <v>3058</v>
      </c>
      <c r="E17" s="16">
        <f>IF($C$3="是",ROUND($A$3*G17/$B$3,2),ROUND($A$3*(G17-AT17)/$B$3,2))</f>
        <v>1745.15</v>
      </c>
      <c r="F17" s="32"/>
      <c r="G17" s="33">
        <f>H17+AC17+AT17</f>
        <v>7920.78</v>
      </c>
      <c r="H17" s="20">
        <f>SUMIF(I$12:AB$12,"总值",I17:AB17)</f>
        <v>7920.78</v>
      </c>
      <c r="I17" s="2214"/>
      <c r="J17" s="2214"/>
      <c r="K17" s="2214"/>
      <c r="L17" s="2214"/>
      <c r="M17" s="2214">
        <v>7920.78</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-202</v>
      </c>
      <c r="AY17" s="1809">
        <f>ROUND($AY$6*AZ17/$AZ$5,2)</f>
        <v>1031.28</v>
      </c>
      <c r="AZ17" s="16">
        <f>BA17+BL17</f>
        <v>7920.78</v>
      </c>
      <c r="BA17" s="16">
        <f>SUM(BB17:BK17)</f>
        <v>7920.78</v>
      </c>
      <c r="BB17" s="16">
        <f>IF($D17="是",I17-J17,0)</f>
        <v>0</v>
      </c>
      <c r="BC17" s="16">
        <f>IF($D17="是",K17-L17,0)</f>
        <v>0</v>
      </c>
      <c r="BD17" s="16">
        <f>IF($D17="是",M17-N17,0)</f>
        <v>7920.78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44" t="s">
        <v>3077</v>
      </c>
      <c r="D18" s="2945" t="s">
        <v>3065</v>
      </c>
      <c r="E18" s="35">
        <f t="shared" ref="E18:E112" si="7">IF($C$3="是",ROUND($A$3*G18/$B$3,2),ROUND($A$3*(G18-AT18)/$B$3,2))</f>
        <v>266.73</v>
      </c>
      <c r="F18" s="36"/>
      <c r="G18" s="37">
        <f t="shared" ref="G18:G109" si="8">H18+AC18+AT18</f>
        <v>1210.6300000000001</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1210.6300000000001</v>
      </c>
      <c r="AD18" s="40"/>
      <c r="AE18" s="40"/>
      <c r="AF18" s="40"/>
      <c r="AG18" s="40"/>
      <c r="AH18" s="40"/>
      <c r="AI18" s="40"/>
      <c r="AJ18" s="40"/>
      <c r="AK18" s="40"/>
      <c r="AL18" s="40"/>
      <c r="AM18" s="40"/>
      <c r="AN18" s="40">
        <v>1210.6300000000001</v>
      </c>
      <c r="AO18" s="40"/>
      <c r="AP18" s="40"/>
      <c r="AQ18" s="40"/>
      <c r="AR18" s="40"/>
      <c r="AS18" s="40"/>
      <c r="AT18" s="41"/>
      <c r="AU18" s="2219"/>
      <c r="AV18" s="1798">
        <f t="shared" ref="AV18:AV112" si="11">A18</f>
        <v>0</v>
      </c>
      <c r="AW18" s="1798">
        <f t="shared" ref="AW18:AW112" si="12">B18</f>
        <v>0</v>
      </c>
      <c r="AX18" s="1798" t="str">
        <f t="shared" ref="AX18:AX112" si="13">C18</f>
        <v>地下1层不分摊</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4">
        <v>-101</v>
      </c>
      <c r="D19" s="2945" t="s">
        <v>3058</v>
      </c>
      <c r="E19" s="35">
        <f t="shared" si="7"/>
        <v>278.32</v>
      </c>
      <c r="F19" s="36"/>
      <c r="G19" s="37">
        <f t="shared" si="8"/>
        <v>1263.2</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v>1263.2</v>
      </c>
      <c r="AU19" s="2219"/>
      <c r="AV19" s="1798">
        <f t="shared" si="11"/>
        <v>0</v>
      </c>
      <c r="AW19" s="1798">
        <f t="shared" si="12"/>
        <v>0</v>
      </c>
      <c r="AX19" s="1798">
        <f t="shared" si="13"/>
        <v>-101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4">
        <v>-102</v>
      </c>
      <c r="D20" s="2945" t="s">
        <v>3058</v>
      </c>
      <c r="E20" s="35">
        <f t="shared" si="7"/>
        <v>1037.03</v>
      </c>
      <c r="F20" s="36"/>
      <c r="G20" s="37">
        <f t="shared" si="8"/>
        <v>4706.78</v>
      </c>
      <c r="H20" s="38">
        <f t="shared" si="9"/>
        <v>4706.78</v>
      </c>
      <c r="I20" s="39"/>
      <c r="J20" s="39"/>
      <c r="K20" s="39">
        <v>4706.78</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-102</v>
      </c>
      <c r="AY20" s="42">
        <f t="shared" si="14"/>
        <v>612.82000000000005</v>
      </c>
      <c r="AZ20" s="35">
        <f t="shared" si="15"/>
        <v>4706.78</v>
      </c>
      <c r="BA20" s="35">
        <f t="shared" si="16"/>
        <v>4706.78</v>
      </c>
      <c r="BB20" s="35">
        <f t="shared" si="17"/>
        <v>0</v>
      </c>
      <c r="BC20" s="35">
        <f t="shared" si="18"/>
        <v>4706.78</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4">
        <v>-103</v>
      </c>
      <c r="D21" s="2945" t="s">
        <v>3058</v>
      </c>
      <c r="E21" s="35">
        <f t="shared" si="7"/>
        <v>1975.29</v>
      </c>
      <c r="F21" s="36"/>
      <c r="G21" s="37">
        <f t="shared" si="8"/>
        <v>8965.31</v>
      </c>
      <c r="H21" s="38">
        <f t="shared" si="9"/>
        <v>8965.31</v>
      </c>
      <c r="I21" s="39"/>
      <c r="J21" s="39"/>
      <c r="K21" s="39">
        <v>8965.31</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-103</v>
      </c>
      <c r="AY21" s="42">
        <f t="shared" si="14"/>
        <v>1167.27</v>
      </c>
      <c r="AZ21" s="35">
        <f t="shared" si="15"/>
        <v>8965.31</v>
      </c>
      <c r="BA21" s="35">
        <f t="shared" si="16"/>
        <v>8965.31</v>
      </c>
      <c r="BB21" s="35">
        <f t="shared" si="17"/>
        <v>0</v>
      </c>
      <c r="BC21" s="35">
        <f t="shared" si="18"/>
        <v>8965.31</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44" t="s">
        <v>3078</v>
      </c>
      <c r="D22" s="2945" t="s">
        <v>3065</v>
      </c>
      <c r="E22" s="35">
        <f t="shared" si="7"/>
        <v>17.13</v>
      </c>
      <c r="F22" s="36"/>
      <c r="G22" s="37">
        <f t="shared" si="8"/>
        <v>77.739999999999995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77.739999999999995</v>
      </c>
      <c r="AD22" s="40"/>
      <c r="AE22" s="40"/>
      <c r="AF22" s="40"/>
      <c r="AG22" s="40"/>
      <c r="AH22" s="40"/>
      <c r="AI22" s="40"/>
      <c r="AJ22" s="40"/>
      <c r="AK22" s="40"/>
      <c r="AL22" s="40">
        <v>77.739999999999995</v>
      </c>
      <c r="AM22" s="40"/>
      <c r="AN22" s="40"/>
      <c r="AO22" s="40"/>
      <c r="AP22" s="40"/>
      <c r="AQ22" s="40"/>
      <c r="AR22" s="40"/>
      <c r="AS22" s="40"/>
      <c r="AT22" s="41"/>
      <c r="AU22" s="2219"/>
      <c r="AV22" s="1798">
        <f t="shared" si="11"/>
        <v>0</v>
      </c>
      <c r="AW22" s="1798">
        <f t="shared" si="12"/>
        <v>0</v>
      </c>
      <c r="AX22" s="1798" t="str">
        <f t="shared" si="13"/>
        <v>01层不分摊</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4">
        <v>101</v>
      </c>
      <c r="D23" s="2945" t="s">
        <v>3058</v>
      </c>
      <c r="E23" s="35">
        <f t="shared" si="7"/>
        <v>573.67999999999995</v>
      </c>
      <c r="F23" s="36"/>
      <c r="G23" s="37">
        <f t="shared" si="8"/>
        <v>2603.7600000000002</v>
      </c>
      <c r="H23" s="38">
        <f t="shared" si="9"/>
        <v>2603.7600000000002</v>
      </c>
      <c r="I23" s="39">
        <v>2603.7600000000002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101</v>
      </c>
      <c r="AY23" s="42">
        <f t="shared" si="14"/>
        <v>339.01</v>
      </c>
      <c r="AZ23" s="35">
        <f t="shared" si="15"/>
        <v>2603.7600000000002</v>
      </c>
      <c r="BA23" s="35">
        <f t="shared" si="16"/>
        <v>2603.7600000000002</v>
      </c>
      <c r="BB23" s="35">
        <f t="shared" si="17"/>
        <v>2603.7600000000002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4">
        <v>102</v>
      </c>
      <c r="D24" s="2945" t="s">
        <v>3058</v>
      </c>
      <c r="E24" s="35">
        <f t="shared" si="7"/>
        <v>1802.77</v>
      </c>
      <c r="F24" s="36"/>
      <c r="G24" s="37">
        <f t="shared" si="8"/>
        <v>8182.27</v>
      </c>
      <c r="H24" s="38">
        <f t="shared" si="9"/>
        <v>8182.27</v>
      </c>
      <c r="I24" s="39">
        <v>8182.27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102</v>
      </c>
      <c r="AY24" s="42">
        <f t="shared" si="14"/>
        <v>1065.32</v>
      </c>
      <c r="AZ24" s="35">
        <f t="shared" si="15"/>
        <v>8182.27</v>
      </c>
      <c r="BA24" s="35">
        <f t="shared" si="16"/>
        <v>8182.27</v>
      </c>
      <c r="BB24" s="35">
        <f t="shared" si="17"/>
        <v>8182.27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4">
        <v>103</v>
      </c>
      <c r="D25" s="2945" t="s">
        <v>3058</v>
      </c>
      <c r="E25" s="35">
        <f t="shared" si="7"/>
        <v>18.29</v>
      </c>
      <c r="F25" s="36"/>
      <c r="G25" s="37">
        <f t="shared" si="8"/>
        <v>83.01</v>
      </c>
      <c r="H25" s="38">
        <f t="shared" si="9"/>
        <v>83.01</v>
      </c>
      <c r="I25" s="39">
        <v>83.01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103</v>
      </c>
      <c r="AY25" s="42">
        <f t="shared" si="14"/>
        <v>10.81</v>
      </c>
      <c r="AZ25" s="35">
        <f t="shared" si="15"/>
        <v>83.01</v>
      </c>
      <c r="BA25" s="35">
        <f t="shared" si="16"/>
        <v>83.01</v>
      </c>
      <c r="BB25" s="35">
        <f t="shared" si="17"/>
        <v>83.01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4">
        <v>104</v>
      </c>
      <c r="D26" s="2945" t="s">
        <v>3058</v>
      </c>
      <c r="E26" s="35">
        <f t="shared" si="7"/>
        <v>16.43</v>
      </c>
      <c r="F26" s="36"/>
      <c r="G26" s="37">
        <f t="shared" si="8"/>
        <v>74.56</v>
      </c>
      <c r="H26" s="38">
        <f t="shared" si="9"/>
        <v>74.56</v>
      </c>
      <c r="I26" s="39">
        <v>74.56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104</v>
      </c>
      <c r="AY26" s="42">
        <f t="shared" si="14"/>
        <v>9.7100000000000009</v>
      </c>
      <c r="AZ26" s="35">
        <f t="shared" si="15"/>
        <v>74.56</v>
      </c>
      <c r="BA26" s="35">
        <f t="shared" si="16"/>
        <v>74.56</v>
      </c>
      <c r="BB26" s="35">
        <f t="shared" si="17"/>
        <v>74.56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44" t="s">
        <v>3079</v>
      </c>
      <c r="D27" s="2945" t="s">
        <v>3065</v>
      </c>
      <c r="E27" s="35">
        <f t="shared" si="7"/>
        <v>2.72</v>
      </c>
      <c r="F27" s="36"/>
      <c r="G27" s="37">
        <f t="shared" si="8"/>
        <v>12.33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12.33</v>
      </c>
      <c r="AD27" s="40"/>
      <c r="AE27" s="40"/>
      <c r="AF27" s="40"/>
      <c r="AG27" s="40"/>
      <c r="AH27" s="40"/>
      <c r="AI27" s="40"/>
      <c r="AJ27" s="40"/>
      <c r="AK27" s="40"/>
      <c r="AL27" s="40">
        <v>12.33</v>
      </c>
      <c r="AM27" s="40"/>
      <c r="AN27" s="40"/>
      <c r="AO27" s="40"/>
      <c r="AP27" s="40"/>
      <c r="AQ27" s="40"/>
      <c r="AR27" s="40"/>
      <c r="AS27" s="40"/>
      <c r="AT27" s="41"/>
      <c r="AU27" s="2219"/>
      <c r="AV27" s="1798">
        <f t="shared" si="11"/>
        <v>0</v>
      </c>
      <c r="AW27" s="1798">
        <f t="shared" si="12"/>
        <v>0</v>
      </c>
      <c r="AX27" s="1798" t="str">
        <f t="shared" si="13"/>
        <v>02层不分摊</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4">
        <v>201</v>
      </c>
      <c r="D28" s="2945" t="s">
        <v>3058</v>
      </c>
      <c r="E28" s="35">
        <f t="shared" si="7"/>
        <v>649.95000000000005</v>
      </c>
      <c r="F28" s="36"/>
      <c r="G28" s="37">
        <f t="shared" si="8"/>
        <v>2949.96</v>
      </c>
      <c r="H28" s="38">
        <f t="shared" si="9"/>
        <v>2949.96</v>
      </c>
      <c r="I28" s="39">
        <v>2949.96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201</v>
      </c>
      <c r="AY28" s="42">
        <f t="shared" si="14"/>
        <v>384.08</v>
      </c>
      <c r="AZ28" s="35">
        <f t="shared" si="15"/>
        <v>2949.96</v>
      </c>
      <c r="BA28" s="35">
        <f t="shared" si="16"/>
        <v>2949.96</v>
      </c>
      <c r="BB28" s="35">
        <f t="shared" si="17"/>
        <v>2949.96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4">
        <v>202</v>
      </c>
      <c r="D29" s="2945" t="s">
        <v>3058</v>
      </c>
      <c r="E29" s="35">
        <f t="shared" si="7"/>
        <v>1701.99</v>
      </c>
      <c r="F29" s="36"/>
      <c r="G29" s="37">
        <f t="shared" si="8"/>
        <v>7724.88</v>
      </c>
      <c r="H29" s="38">
        <f t="shared" si="9"/>
        <v>7724.88</v>
      </c>
      <c r="I29" s="39">
        <v>7724.88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202</v>
      </c>
      <c r="AY29" s="42">
        <f t="shared" si="14"/>
        <v>1005.77</v>
      </c>
      <c r="AZ29" s="35">
        <f t="shared" si="15"/>
        <v>7724.88</v>
      </c>
      <c r="BA29" s="35">
        <f t="shared" si="16"/>
        <v>7724.88</v>
      </c>
      <c r="BB29" s="35">
        <f t="shared" si="17"/>
        <v>7724.88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2944" t="s">
        <v>3080</v>
      </c>
      <c r="D30" s="2945" t="s">
        <v>3065</v>
      </c>
      <c r="E30" s="35">
        <f t="shared" si="7"/>
        <v>1.65</v>
      </c>
      <c r="F30" s="36"/>
      <c r="G30" s="37">
        <f t="shared" si="8"/>
        <v>7.48</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7.48</v>
      </c>
      <c r="AD30" s="40"/>
      <c r="AE30" s="40"/>
      <c r="AF30" s="40"/>
      <c r="AG30" s="40"/>
      <c r="AH30" s="40"/>
      <c r="AI30" s="40"/>
      <c r="AJ30" s="40"/>
      <c r="AK30" s="40"/>
      <c r="AL30" s="40">
        <v>7.48</v>
      </c>
      <c r="AM30" s="40"/>
      <c r="AN30" s="40"/>
      <c r="AO30" s="40"/>
      <c r="AP30" s="40"/>
      <c r="AQ30" s="40"/>
      <c r="AR30" s="40"/>
      <c r="AS30" s="40"/>
      <c r="AT30" s="41"/>
      <c r="AU30" s="2219"/>
      <c r="AV30" s="1798">
        <f t="shared" si="11"/>
        <v>0</v>
      </c>
      <c r="AW30" s="1798">
        <f t="shared" si="12"/>
        <v>0</v>
      </c>
      <c r="AX30" s="1798" t="str">
        <f t="shared" si="13"/>
        <v>03层不分摊</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4">
        <v>301</v>
      </c>
      <c r="D31" s="2945" t="s">
        <v>3058</v>
      </c>
      <c r="E31" s="35">
        <f t="shared" si="7"/>
        <v>658.04</v>
      </c>
      <c r="F31" s="36"/>
      <c r="G31" s="37">
        <f t="shared" si="8"/>
        <v>2986.66</v>
      </c>
      <c r="H31" s="38">
        <f t="shared" si="9"/>
        <v>2986.66</v>
      </c>
      <c r="I31" s="39">
        <v>2986.66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301</v>
      </c>
      <c r="AY31" s="42">
        <f t="shared" si="14"/>
        <v>388.86</v>
      </c>
      <c r="AZ31" s="35">
        <f t="shared" si="15"/>
        <v>2986.66</v>
      </c>
      <c r="BA31" s="35">
        <f t="shared" si="16"/>
        <v>2986.66</v>
      </c>
      <c r="BB31" s="35">
        <f t="shared" si="17"/>
        <v>2986.66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4">
        <v>302</v>
      </c>
      <c r="D32" s="2945" t="s">
        <v>3058</v>
      </c>
      <c r="E32" s="35">
        <f t="shared" si="7"/>
        <v>1778.59</v>
      </c>
      <c r="F32" s="36"/>
      <c r="G32" s="37">
        <f t="shared" si="8"/>
        <v>8072.55</v>
      </c>
      <c r="H32" s="38">
        <f t="shared" si="9"/>
        <v>8072.55</v>
      </c>
      <c r="I32" s="39">
        <v>8072.55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302</v>
      </c>
      <c r="AY32" s="42">
        <f t="shared" si="14"/>
        <v>1051.04</v>
      </c>
      <c r="AZ32" s="35">
        <f t="shared" si="15"/>
        <v>8072.55</v>
      </c>
      <c r="BA32" s="35">
        <f t="shared" si="16"/>
        <v>8072.55</v>
      </c>
      <c r="BB32" s="35">
        <f t="shared" si="17"/>
        <v>8072.55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v>501</v>
      </c>
      <c r="D33" s="2945" t="s">
        <v>3058</v>
      </c>
      <c r="E33" s="35">
        <f t="shared" si="7"/>
        <v>659.72</v>
      </c>
      <c r="F33" s="36"/>
      <c r="G33" s="37">
        <f t="shared" si="8"/>
        <v>2994.27</v>
      </c>
      <c r="H33" s="38">
        <f t="shared" si="9"/>
        <v>2994.27</v>
      </c>
      <c r="I33" s="39">
        <v>2994.27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501</v>
      </c>
      <c r="AY33" s="42">
        <f t="shared" si="14"/>
        <v>389.85</v>
      </c>
      <c r="AZ33" s="35">
        <f t="shared" si="15"/>
        <v>2994.27</v>
      </c>
      <c r="BA33" s="35">
        <f t="shared" si="16"/>
        <v>2994.27</v>
      </c>
      <c r="BB33" s="35">
        <f t="shared" si="17"/>
        <v>2994.27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4">
        <v>502</v>
      </c>
      <c r="D34" s="2945" t="s">
        <v>3058</v>
      </c>
      <c r="E34" s="35">
        <f t="shared" si="7"/>
        <v>1113.1500000000001</v>
      </c>
      <c r="F34" s="36"/>
      <c r="G34" s="37">
        <f t="shared" si="8"/>
        <v>5052.3100000000004</v>
      </c>
      <c r="H34" s="38">
        <f t="shared" si="9"/>
        <v>5052.3100000000004</v>
      </c>
      <c r="I34" s="39">
        <v>5052.3100000000004</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502</v>
      </c>
      <c r="AY34" s="42">
        <f t="shared" si="14"/>
        <v>657.8</v>
      </c>
      <c r="AZ34" s="35">
        <f t="shared" si="15"/>
        <v>5052.3100000000004</v>
      </c>
      <c r="BA34" s="35">
        <f t="shared" si="16"/>
        <v>5052.3100000000004</v>
      </c>
      <c r="BB34" s="35">
        <f t="shared" si="17"/>
        <v>5052.3100000000004</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4">
        <v>601</v>
      </c>
      <c r="D35" s="2945" t="s">
        <v>3058</v>
      </c>
      <c r="E35" s="35">
        <f t="shared" si="7"/>
        <v>521.64</v>
      </c>
      <c r="F35" s="36"/>
      <c r="G35" s="37">
        <f t="shared" si="8"/>
        <v>2367.5700000000002</v>
      </c>
      <c r="H35" s="38">
        <f t="shared" si="9"/>
        <v>2367.5700000000002</v>
      </c>
      <c r="I35" s="39">
        <v>2367.5700000000002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601</v>
      </c>
      <c r="AY35" s="42">
        <f t="shared" si="14"/>
        <v>308.25</v>
      </c>
      <c r="AZ35" s="35">
        <f t="shared" si="15"/>
        <v>2367.5700000000002</v>
      </c>
      <c r="BA35" s="35">
        <f t="shared" si="16"/>
        <v>2367.5700000000002</v>
      </c>
      <c r="BB35" s="35">
        <f t="shared" si="17"/>
        <v>2367.5700000000002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4">
        <v>602</v>
      </c>
      <c r="D36" s="2945" t="s">
        <v>3058</v>
      </c>
      <c r="E36" s="35">
        <f t="shared" si="7"/>
        <v>816.73</v>
      </c>
      <c r="F36" s="36"/>
      <c r="G36" s="37">
        <f t="shared" si="8"/>
        <v>3706.94</v>
      </c>
      <c r="H36" s="38">
        <f t="shared" si="9"/>
        <v>3706.94</v>
      </c>
      <c r="I36" s="39">
        <v>3706.94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602</v>
      </c>
      <c r="AY36" s="42">
        <f t="shared" si="14"/>
        <v>482.64</v>
      </c>
      <c r="AZ36" s="35">
        <f t="shared" si="15"/>
        <v>3706.94</v>
      </c>
      <c r="BA36" s="35">
        <f t="shared" si="16"/>
        <v>3706.94</v>
      </c>
      <c r="BB36" s="35">
        <f t="shared" si="17"/>
        <v>3706.94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2944" t="s">
        <v>3081</v>
      </c>
      <c r="D37" s="2945" t="s">
        <v>3065</v>
      </c>
      <c r="E37" s="35">
        <f t="shared" si="7"/>
        <v>27.8</v>
      </c>
      <c r="F37" s="36"/>
      <c r="G37" s="37">
        <f t="shared" si="8"/>
        <v>126.19</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126.19</v>
      </c>
      <c r="AD37" s="40"/>
      <c r="AE37" s="40"/>
      <c r="AF37" s="40"/>
      <c r="AG37" s="40"/>
      <c r="AH37" s="40"/>
      <c r="AI37" s="40"/>
      <c r="AJ37" s="40"/>
      <c r="AK37" s="40"/>
      <c r="AL37" s="40">
        <v>126.19</v>
      </c>
      <c r="AM37" s="40"/>
      <c r="AN37" s="40"/>
      <c r="AO37" s="40"/>
      <c r="AP37" s="40"/>
      <c r="AQ37" s="40"/>
      <c r="AR37" s="40"/>
      <c r="AS37" s="40"/>
      <c r="AT37" s="41"/>
      <c r="AU37" s="2219"/>
      <c r="AV37" s="1798">
        <f t="shared" si="11"/>
        <v>0</v>
      </c>
      <c r="AW37" s="1798">
        <f t="shared" si="12"/>
        <v>0</v>
      </c>
      <c r="AX37" s="1798" t="str">
        <f t="shared" si="13"/>
        <v>07层不分摊</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4">
        <v>701</v>
      </c>
      <c r="D38" s="2945" t="s">
        <v>3058</v>
      </c>
      <c r="E38" s="35">
        <f t="shared" si="7"/>
        <v>498.8</v>
      </c>
      <c r="F38" s="36"/>
      <c r="G38" s="37">
        <f t="shared" si="8"/>
        <v>2263.92</v>
      </c>
      <c r="H38" s="38">
        <f t="shared" si="9"/>
        <v>2263.92</v>
      </c>
      <c r="I38" s="39">
        <v>2263.92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701</v>
      </c>
      <c r="AY38" s="42">
        <f t="shared" si="14"/>
        <v>294.76</v>
      </c>
      <c r="AZ38" s="35">
        <f t="shared" si="15"/>
        <v>2263.92</v>
      </c>
      <c r="BA38" s="35">
        <f t="shared" si="16"/>
        <v>2263.92</v>
      </c>
      <c r="BB38" s="35">
        <f t="shared" si="17"/>
        <v>2263.92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4">
        <v>702</v>
      </c>
      <c r="D39" s="2945" t="s">
        <v>3058</v>
      </c>
      <c r="E39" s="35">
        <f t="shared" si="7"/>
        <v>554.41</v>
      </c>
      <c r="F39" s="36"/>
      <c r="G39" s="37">
        <f t="shared" si="8"/>
        <v>2516.3200000000002</v>
      </c>
      <c r="H39" s="38">
        <f t="shared" si="9"/>
        <v>2516.3200000000002</v>
      </c>
      <c r="I39" s="39">
        <v>2516.3200000000002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702</v>
      </c>
      <c r="AY39" s="42">
        <f t="shared" si="14"/>
        <v>327.62</v>
      </c>
      <c r="AZ39" s="35">
        <f t="shared" si="15"/>
        <v>2516.3200000000002</v>
      </c>
      <c r="BA39" s="35">
        <f t="shared" si="16"/>
        <v>2516.3200000000002</v>
      </c>
      <c r="BB39" s="35">
        <f t="shared" si="17"/>
        <v>2516.3200000000002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4">
        <v>801</v>
      </c>
      <c r="D40" s="2945" t="s">
        <v>3058</v>
      </c>
      <c r="E40" s="35">
        <f t="shared" si="7"/>
        <v>373.25</v>
      </c>
      <c r="F40" s="36"/>
      <c r="G40" s="37">
        <f t="shared" si="8"/>
        <v>1694.06</v>
      </c>
      <c r="H40" s="38">
        <f t="shared" si="9"/>
        <v>1694.06</v>
      </c>
      <c r="I40" s="39">
        <v>1694.06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801</v>
      </c>
      <c r="AY40" s="42">
        <f t="shared" si="14"/>
        <v>220.56</v>
      </c>
      <c r="AZ40" s="35">
        <f t="shared" si="15"/>
        <v>1694.06</v>
      </c>
      <c r="BA40" s="35">
        <f t="shared" si="16"/>
        <v>1694.06</v>
      </c>
      <c r="BB40" s="35">
        <f t="shared" si="17"/>
        <v>1694.06</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4">
        <v>901</v>
      </c>
      <c r="D41" s="2945" t="s">
        <v>3058</v>
      </c>
      <c r="E41" s="35">
        <f t="shared" si="7"/>
        <v>373.25</v>
      </c>
      <c r="F41" s="36"/>
      <c r="G41" s="37">
        <f t="shared" si="8"/>
        <v>1694.06</v>
      </c>
      <c r="H41" s="38">
        <f t="shared" si="9"/>
        <v>1694.06</v>
      </c>
      <c r="I41" s="39">
        <v>1694.06</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901</v>
      </c>
      <c r="AY41" s="42">
        <f t="shared" si="14"/>
        <v>220.56</v>
      </c>
      <c r="AZ41" s="35">
        <f t="shared" si="15"/>
        <v>1694.06</v>
      </c>
      <c r="BA41" s="35">
        <f t="shared" si="16"/>
        <v>1694.06</v>
      </c>
      <c r="BB41" s="35">
        <f t="shared" si="17"/>
        <v>1694.06</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4">
        <v>1001</v>
      </c>
      <c r="D42" s="2945" t="s">
        <v>3058</v>
      </c>
      <c r="E42" s="35">
        <f t="shared" si="7"/>
        <v>369.08</v>
      </c>
      <c r="F42" s="36"/>
      <c r="G42" s="37">
        <f t="shared" si="8"/>
        <v>1675.14</v>
      </c>
      <c r="H42" s="38">
        <f t="shared" si="9"/>
        <v>1675.14</v>
      </c>
      <c r="I42" s="39">
        <v>1675.14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1001</v>
      </c>
      <c r="AY42" s="42">
        <f t="shared" si="14"/>
        <v>218.1</v>
      </c>
      <c r="AZ42" s="35">
        <f t="shared" si="15"/>
        <v>1675.14</v>
      </c>
      <c r="BA42" s="35">
        <f t="shared" si="16"/>
        <v>1675.14</v>
      </c>
      <c r="BB42" s="35">
        <f t="shared" si="17"/>
        <v>1675.14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4">
        <v>1101</v>
      </c>
      <c r="D43" s="2945" t="s">
        <v>3058</v>
      </c>
      <c r="E43" s="35">
        <f t="shared" si="7"/>
        <v>369.08</v>
      </c>
      <c r="F43" s="36"/>
      <c r="G43" s="37">
        <f t="shared" si="8"/>
        <v>1675.14</v>
      </c>
      <c r="H43" s="38">
        <f t="shared" si="9"/>
        <v>1675.14</v>
      </c>
      <c r="I43" s="39">
        <v>1675.14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1101</v>
      </c>
      <c r="AY43" s="42">
        <f t="shared" si="14"/>
        <v>218.1</v>
      </c>
      <c r="AZ43" s="35">
        <f t="shared" si="15"/>
        <v>1675.14</v>
      </c>
      <c r="BA43" s="35">
        <f t="shared" si="16"/>
        <v>1675.14</v>
      </c>
      <c r="BB43" s="35">
        <f t="shared" si="17"/>
        <v>1675.14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4">
        <v>1201</v>
      </c>
      <c r="D44" s="2945" t="s">
        <v>3058</v>
      </c>
      <c r="E44" s="35">
        <f t="shared" si="7"/>
        <v>369.08</v>
      </c>
      <c r="F44" s="36"/>
      <c r="G44" s="37">
        <f t="shared" si="8"/>
        <v>1675.14</v>
      </c>
      <c r="H44" s="38">
        <f t="shared" si="9"/>
        <v>1675.14</v>
      </c>
      <c r="I44" s="39">
        <v>1675.14</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1201</v>
      </c>
      <c r="AY44" s="42">
        <f t="shared" si="14"/>
        <v>218.1</v>
      </c>
      <c r="AZ44" s="35">
        <f t="shared" si="15"/>
        <v>1675.14</v>
      </c>
      <c r="BA44" s="35">
        <f t="shared" si="16"/>
        <v>1675.14</v>
      </c>
      <c r="BB44" s="35">
        <f t="shared" si="17"/>
        <v>1675.14</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55" t="s">
        <v>1936</v>
      </c>
      <c r="B2" s="3055"/>
      <c r="C2" s="3055"/>
      <c r="D2" s="970" t="s">
        <v>1912</v>
      </c>
      <c r="E2" s="2227" t="s">
        <v>1913</v>
      </c>
      <c r="F2" s="1395"/>
      <c r="G2" s="2228"/>
      <c r="H2" s="2229"/>
      <c r="I2" s="2230" t="s">
        <v>1937</v>
      </c>
      <c r="J2" s="1395"/>
      <c r="K2" s="1395"/>
      <c r="L2" s="1395"/>
      <c r="M2" s="1395"/>
      <c r="N2" s="1430"/>
      <c r="O2" s="1395"/>
      <c r="P2" s="1395"/>
    </row>
    <row r="3" spans="1:16" ht="15.75" thickBot="1">
      <c r="A3" s="3056" t="s">
        <v>1910</v>
      </c>
      <c r="B3" s="3056"/>
      <c r="C3" s="3056"/>
      <c r="D3" s="46">
        <f>'数据-基础表'!AY6</f>
        <v>12702.55</v>
      </c>
      <c r="E3" s="46">
        <f>'数据-基础表'!AZ5</f>
        <v>97562.77</v>
      </c>
      <c r="F3" s="1395"/>
      <c r="G3" s="1402"/>
      <c r="H3" s="1250" t="s">
        <v>1911</v>
      </c>
      <c r="I3" s="55">
        <f>ROUND('数据-基础表'!B3/'数据-基础表'!A3,2)</f>
        <v>4.54</v>
      </c>
      <c r="J3" s="1395"/>
      <c r="K3" s="1395"/>
      <c r="L3" s="1395"/>
      <c r="M3" s="1395"/>
      <c r="N3" s="1430"/>
      <c r="O3" s="1395"/>
      <c r="P3" s="1395"/>
    </row>
    <row r="4" spans="1:16" ht="15">
      <c r="A4" s="3057"/>
      <c r="B4" s="3058"/>
      <c r="C4" s="3059"/>
      <c r="D4" s="2231" t="s">
        <v>1912</v>
      </c>
      <c r="E4" s="2232" t="s">
        <v>1913</v>
      </c>
      <c r="F4" s="1395"/>
      <c r="G4" s="2233" t="s">
        <v>1938</v>
      </c>
      <c r="H4" s="1250" t="s">
        <v>1918</v>
      </c>
      <c r="I4" s="55">
        <f>ROUND(SUMIF('数据-基础表'!I9:AS9,"地上",'数据-基础表'!I5:AS5)/'数据-基础表'!A3,2)</f>
        <v>2.72</v>
      </c>
      <c r="J4" s="1395"/>
      <c r="K4" s="1395"/>
      <c r="L4" s="1395"/>
      <c r="M4" s="1395"/>
      <c r="N4" s="1430"/>
      <c r="O4" s="1395"/>
      <c r="P4" s="1395"/>
    </row>
    <row r="5" spans="1:16">
      <c r="A5" s="47" t="s">
        <v>1914</v>
      </c>
      <c r="B5" s="3060" t="s">
        <v>1915</v>
      </c>
      <c r="C5" s="3060"/>
      <c r="D5" s="48">
        <f>ROUND($D$3*E5/$E$3,2)</f>
        <v>0</v>
      </c>
      <c r="E5" s="49">
        <f>SUMIF('数据-基础表'!$11:$11,"住宅",'数据-基础表'!$5:$5)</f>
        <v>0</v>
      </c>
      <c r="F5" s="1395"/>
      <c r="G5" s="1402"/>
      <c r="H5" s="1250" t="s">
        <v>1911</v>
      </c>
      <c r="I5" s="55">
        <f>ROUND(E31/D31,2)</f>
        <v>7.68</v>
      </c>
      <c r="J5" s="1395"/>
      <c r="K5" s="1395"/>
      <c r="L5" s="1395"/>
      <c r="M5" s="1395"/>
      <c r="N5" s="1395"/>
      <c r="O5" s="1395"/>
      <c r="P5" s="1395"/>
    </row>
    <row r="6" spans="1:16" ht="15" thickBot="1">
      <c r="A6" s="2234"/>
      <c r="B6" s="3060" t="s">
        <v>1916</v>
      </c>
      <c r="C6" s="3060"/>
      <c r="D6" s="48">
        <f>ROUND($D$3*E6/$E$3,2)</f>
        <v>12702.55</v>
      </c>
      <c r="E6" s="49">
        <f>E3-E5</f>
        <v>97562.77</v>
      </c>
      <c r="F6" s="1395"/>
      <c r="G6" s="2235" t="s">
        <v>1917</v>
      </c>
      <c r="H6" s="1402" t="s">
        <v>1918</v>
      </c>
      <c r="I6" s="942">
        <f>ROUND(F31/D31,2)</f>
        <v>4.72</v>
      </c>
      <c r="J6" s="1395"/>
      <c r="K6" s="1395"/>
      <c r="L6" s="1395"/>
      <c r="M6" s="1395"/>
      <c r="N6" s="1395"/>
      <c r="O6" s="1395"/>
      <c r="P6" s="1395"/>
    </row>
    <row r="7" spans="1:16" ht="15">
      <c r="A7" s="3052"/>
      <c r="B7" s="3053"/>
      <c r="C7" s="3054"/>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7810.95</v>
      </c>
      <c r="E8" s="51">
        <f>SUMIF('数据-基础表'!BB10:BK10,"地上",'数据-基础表'!BB5:BK5)</f>
        <v>59992.51999999999</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1780.09</v>
      </c>
      <c r="E12" s="51">
        <f>SUMPRODUCT(('数据-基础表'!BB10:BK10="地下")*('数据-基础表'!BB11:BK11="仓储")*('数据-基础表'!BB5:BK5))</f>
        <v>13672.09</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3111.51</v>
      </c>
      <c r="E14" s="51">
        <f>SUMPRODUCT(('数据-基础表'!BB10:BK10="地下")*('数据-基础表'!BB11:BK11="车库—商业")*('数据-基础表'!BB5:BK5))</f>
        <v>23898.16</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12702.55</v>
      </c>
      <c r="E16" s="53">
        <f>SUM(E8:E15)</f>
        <v>97562.76999999999</v>
      </c>
      <c r="F16" s="1395"/>
      <c r="G16" s="2237"/>
      <c r="H16" s="2240" t="s">
        <v>1940</v>
      </c>
      <c r="I16" s="2241"/>
      <c r="J16" s="1395"/>
      <c r="K16" s="3049" t="s">
        <v>1940</v>
      </c>
      <c r="L16" s="3050"/>
      <c r="M16" s="3050"/>
      <c r="N16" s="3050"/>
      <c r="O16" s="3050"/>
      <c r="P16" s="3051"/>
    </row>
    <row r="17" spans="1:19" ht="15">
      <c r="A17" s="2242" t="s">
        <v>1941</v>
      </c>
      <c r="B17" s="2243" t="s">
        <v>1942</v>
      </c>
      <c r="C17" s="2244" t="s">
        <v>1943</v>
      </c>
      <c r="D17" s="2245" t="s">
        <v>1931</v>
      </c>
      <c r="E17" s="2246" t="s">
        <v>1932</v>
      </c>
      <c r="F17" s="2247"/>
      <c r="G17" s="2248"/>
      <c r="H17" s="2249" t="s">
        <v>1944</v>
      </c>
      <c r="I17" s="2250" t="s">
        <v>1929</v>
      </c>
      <c r="J17" s="1395"/>
      <c r="K17" s="3046" t="s">
        <v>1945</v>
      </c>
      <c r="L17" s="3047"/>
      <c r="M17" s="3048"/>
      <c r="N17" s="3046" t="s">
        <v>1946</v>
      </c>
      <c r="O17" s="3047"/>
      <c r="P17" s="3048"/>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51" t="s">
        <v>3108</v>
      </c>
      <c r="D19" s="48">
        <f>ROUND($D$3*E19/$E$3,2)</f>
        <v>7810.95</v>
      </c>
      <c r="E19" s="56">
        <f t="shared" ref="E19:E26" si="1">SUM(F19:G19)</f>
        <v>59992.51999999999</v>
      </c>
      <c r="F19" s="57">
        <f>'数据-基础表'!I23+'数据-基础表'!I24+'数据-基础表'!I25+'数据-基础表'!I26+'数据-基础表'!I28+'数据-基础表'!I29+'数据-基础表'!I31+'数据-基础表'!I32+'数据-基础表'!I33+'数据-基础表'!I34+'数据-基础表'!I35+'数据-基础表'!I36+'数据-基础表'!I38+'数据-基础表'!I39+'数据-基础表'!I40+'数据-基础表'!I41+'数据-基础表'!I42+'数据-基础表'!I43+'数据-基础表'!I44</f>
        <v>59992.51999999999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7810.95</v>
      </c>
      <c r="S19" s="1251">
        <f t="shared" si="5"/>
        <v>59992.51999999999</v>
      </c>
    </row>
    <row r="20" spans="1:19">
      <c r="A20" s="2262"/>
      <c r="B20" s="50" t="s">
        <v>1958</v>
      </c>
      <c r="C20" s="2951" t="s">
        <v>3110</v>
      </c>
      <c r="D20" s="48">
        <f t="shared" ref="D20:D26" si="6">ROUND($D$3*E20/$E$3,2)</f>
        <v>1780.09</v>
      </c>
      <c r="E20" s="56">
        <f t="shared" si="1"/>
        <v>13672.09</v>
      </c>
      <c r="F20" s="57"/>
      <c r="G20" s="58">
        <f>'数据-基础表'!K20+'数据-基础表'!K21</f>
        <v>13672.09</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1780.09</v>
      </c>
      <c r="S20" s="1251">
        <f t="shared" si="5"/>
        <v>13672.09</v>
      </c>
    </row>
    <row r="21" spans="1:19">
      <c r="A21" s="2262"/>
      <c r="B21" s="50" t="s">
        <v>1958</v>
      </c>
      <c r="C21" s="2951" t="s">
        <v>3111</v>
      </c>
      <c r="D21" s="48">
        <f t="shared" si="6"/>
        <v>3111.51</v>
      </c>
      <c r="E21" s="56">
        <f t="shared" si="1"/>
        <v>23898.16</v>
      </c>
      <c r="F21" s="57"/>
      <c r="G21" s="58">
        <f>'数据-基础表'!M14+'数据-基础表'!M16+'数据-基础表'!M17</f>
        <v>23898.16</v>
      </c>
      <c r="H21" s="723">
        <f t="shared" si="7"/>
        <v>0</v>
      </c>
      <c r="I21" s="51">
        <f t="shared" si="2"/>
        <v>0</v>
      </c>
      <c r="J21" s="1395"/>
      <c r="K21" s="1394">
        <f t="shared" si="3"/>
        <v>0</v>
      </c>
      <c r="L21" s="1250">
        <f t="shared" si="4"/>
        <v>0</v>
      </c>
      <c r="M21" s="1406">
        <f t="shared" si="8"/>
        <v>0</v>
      </c>
      <c r="N21" s="2260"/>
      <c r="O21" s="2261"/>
      <c r="P21" s="1406">
        <f t="shared" si="9"/>
        <v>0</v>
      </c>
      <c r="R21" s="1250">
        <f t="shared" si="5"/>
        <v>3111.51</v>
      </c>
      <c r="S21" s="1251">
        <f t="shared" si="5"/>
        <v>23898.16</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12702.55</v>
      </c>
      <c r="E27" s="1397">
        <f>IF(SUM(E19:E26)='数据-基础表'!BA5,SUM(E19:E26),IF(F27="地上面积有误","面积有误","地下面积有误"))</f>
        <v>97562.76999999999</v>
      </c>
      <c r="F27" s="1396">
        <f>IF(SUM(F19:F26)=E8,SUM(F19:F26),"地上面积有误")</f>
        <v>59992.51999999999</v>
      </c>
      <c r="G27" s="1398">
        <f>SUM(G19:G26)</f>
        <v>37570.25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12702.55</v>
      </c>
      <c r="S27" s="1250">
        <f>IF(SUM(S19:S26)=$E$3,SUM(S19:S26),SUM(S19:S26)&amp;"误差"&amp;ROUND(SUM(S19:S26)-E3,2))</f>
        <v>97562.76999999999</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12702.55</v>
      </c>
      <c r="E31" s="729">
        <f>E27+E30</f>
        <v>97562.76999999999</v>
      </c>
      <c r="F31" s="730">
        <f>F27+F30</f>
        <v>59992.51999999999</v>
      </c>
      <c r="G31" s="731">
        <f>G27+G30</f>
        <v>37570.25</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7" sqref="M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90"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1966</v>
      </c>
      <c r="B2" s="1269">
        <f>项目基本情况!D3</f>
        <v>43119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3112</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5" t="s">
        <v>2006</v>
      </c>
      <c r="AP5" s="1252" t="s">
        <v>2007</v>
      </c>
      <c r="AQ5" s="2304" t="s">
        <v>2008</v>
      </c>
      <c r="AR5" s="2304"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5" t="str">
        <f>'数据-汇总表'!C19</f>
        <v>地上商业</v>
      </c>
      <c r="B6" s="2306" t="str">
        <f>IF(A6=0,"","经营性")</f>
        <v>经营性</v>
      </c>
      <c r="C6" s="2307" t="s">
        <v>1377</v>
      </c>
      <c r="D6" s="1054">
        <f>SUMIF(项目基本情况!D$12:I$12,C6,项目基本情况!D$14:I$14)</f>
        <v>40</v>
      </c>
      <c r="E6" s="1051">
        <f>IF(B6="","",SUMIF(项目基本情况!D$12:I$12,C6,项目基本情况!D$13:I$13))</f>
        <v>51980</v>
      </c>
      <c r="F6" s="72">
        <f>SUMIF(项目基本情况!D$12:I$12,C6,项目基本情况!D$15:I$15)</f>
        <v>24.27</v>
      </c>
      <c r="G6" s="73">
        <f>IF(ISERROR(ROUND(POWER(1+H6,D6-F6)*(POWER(1+H6,F6)-1)/(POWER(1+H6,D6)-1),3)),0,ROUND(POWER(1+H6,D6-F6)*(POWER(1+H6,F6)-1)/(POWER(1+H6,D6)-1),3))</f>
        <v>0.80900000000000005</v>
      </c>
      <c r="H6" s="802">
        <v>0.05</v>
      </c>
      <c r="I6" s="802">
        <v>0.06</v>
      </c>
      <c r="J6" s="74">
        <v>8.5000000000000006E-2</v>
      </c>
      <c r="K6" s="1254">
        <f>SUMIF('数据-汇总表'!C$19:C$33,A6,'数据-汇总表'!E$19:E$33)</f>
        <v>59992.51999999999</v>
      </c>
      <c r="L6" s="803">
        <v>4500</v>
      </c>
      <c r="M6" s="75">
        <f t="shared" ref="M6:M14" si="0">ROUND(K6*L6/10000,0)</f>
        <v>26997</v>
      </c>
      <c r="N6" s="801">
        <v>0.83</v>
      </c>
      <c r="O6" s="75" t="str">
        <f>IF($N$5="成新度","——",ROUND(M6*N6,0))</f>
        <v>——</v>
      </c>
      <c r="P6" s="76" t="str">
        <f>IF($N$5="成新度","——",M6-O6)</f>
        <v>——</v>
      </c>
      <c r="Q6" s="804">
        <v>0.3</v>
      </c>
      <c r="R6" s="77">
        <f ca="1">SUMIF('数据-汇总表'!C$19:C$33,A6,'数据-汇总表'!R$19:R$27)</f>
        <v>7810.95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地下仓储</v>
      </c>
      <c r="B7" s="2306" t="str">
        <f t="shared" ref="B7:B13" si="1">IF(A7=0,"","经营性")</f>
        <v>经营性</v>
      </c>
      <c r="C7" s="2307" t="s">
        <v>3085</v>
      </c>
      <c r="D7" s="1054">
        <f>SUMIF(项目基本情况!D$12:I$12,C7,项目基本情况!D$14:I$14)</f>
        <v>50</v>
      </c>
      <c r="E7" s="1051">
        <f>IF(B7="","",SUMIF(项目基本情况!D$12:I$12,C7,项目基本情况!D$13:I$13))</f>
        <v>55633</v>
      </c>
      <c r="F7" s="72">
        <f>SUMIF(项目基本情况!D$12:I$12,C7,项目基本情况!D$15:I$15)</f>
        <v>34.28</v>
      </c>
      <c r="G7" s="73">
        <f t="shared" ref="G7:G11" si="2">IF(ISERROR(ROUND(POWER(1+H7,D7-F7)*(POWER(1+H7,F7)-1)/(POWER(1+H7,D7)-1),3)),0,ROUND(POWER(1+H7,D7-F7)*(POWER(1+H7,F7)-1)/(POWER(1+H7,D7)-1),3))</f>
        <v>0.86</v>
      </c>
      <c r="H7" s="802">
        <v>0.04</v>
      </c>
      <c r="I7" s="802">
        <v>0.06</v>
      </c>
      <c r="J7" s="74">
        <v>8.5000000000000006E-2</v>
      </c>
      <c r="K7" s="1254">
        <f>SUMIF('数据-汇总表'!C$19:C$33,A7,'数据-汇总表'!E$19:E$33)</f>
        <v>13672.09</v>
      </c>
      <c r="L7" s="803">
        <v>3800</v>
      </c>
      <c r="M7" s="75">
        <f t="shared" si="0"/>
        <v>5195</v>
      </c>
      <c r="N7" s="801">
        <f>N6</f>
        <v>0.83</v>
      </c>
      <c r="O7" s="75" t="str">
        <f t="shared" ref="O7:O14" si="3">IF($N$5="成新度","——",ROUND(M7*N7,0))</f>
        <v>——</v>
      </c>
      <c r="P7" s="76" t="str">
        <f t="shared" ref="P7:P14" si="4">IF($N$5="成新度","——",M7-O7)</f>
        <v>——</v>
      </c>
      <c r="Q7" s="804">
        <v>0.3</v>
      </c>
      <c r="R7" s="77">
        <f ca="1">SUMIF('数据-汇总表'!C$19:C$33,A7,'数据-汇总表'!R$19:R$27)</f>
        <v>1780.09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地下车库</v>
      </c>
      <c r="B8" s="2306" t="str">
        <f t="shared" si="1"/>
        <v>经营性</v>
      </c>
      <c r="C8" s="2307" t="s">
        <v>3086</v>
      </c>
      <c r="D8" s="1054">
        <f>SUMIF(项目基本情况!D$12:I$12,C8,项目基本情况!D$14:I$14)</f>
        <v>50</v>
      </c>
      <c r="E8" s="1051">
        <f>IF(B8="","",SUMIF(项目基本情况!D$12:I$12,C8,项目基本情况!D$13:I$13))</f>
        <v>55633</v>
      </c>
      <c r="F8" s="72">
        <f>SUMIF(项目基本情况!D$12:I$12,C8,项目基本情况!D$15:I$15)</f>
        <v>34.28</v>
      </c>
      <c r="G8" s="73">
        <f t="shared" si="2"/>
        <v>0.86</v>
      </c>
      <c r="H8" s="802">
        <v>0.04</v>
      </c>
      <c r="I8" s="802">
        <v>0.05</v>
      </c>
      <c r="J8" s="74">
        <v>8.5000000000000006E-2</v>
      </c>
      <c r="K8" s="1254">
        <f>SUMIF('数据-汇总表'!C$19:C$33,A8,'数据-汇总表'!E$19:E$33)</f>
        <v>23898.16</v>
      </c>
      <c r="L8" s="803">
        <v>2800</v>
      </c>
      <c r="M8" s="75">
        <f>ROUND(K8*L8/10000,0)</f>
        <v>6691</v>
      </c>
      <c r="N8" s="801">
        <f>N6</f>
        <v>0.83</v>
      </c>
      <c r="O8" s="75" t="str">
        <f t="shared" si="3"/>
        <v>——</v>
      </c>
      <c r="P8" s="76" t="str">
        <f t="shared" si="4"/>
        <v>——</v>
      </c>
      <c r="Q8" s="804">
        <v>0.15</v>
      </c>
      <c r="R8" s="77">
        <f ca="1">SUMIF('数据-汇总表'!C$19:C$33,A8,'数据-汇总表'!R$19:R$27)</f>
        <v>3111.51</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2010</v>
      </c>
      <c r="B14" s="2306" t="s">
        <v>2011</v>
      </c>
      <c r="C14" s="2311" t="s">
        <v>2010</v>
      </c>
      <c r="D14" s="1054"/>
      <c r="E14" s="1051"/>
      <c r="F14" s="72"/>
      <c r="G14" s="73"/>
      <c r="H14" s="1253"/>
      <c r="I14" s="1253"/>
      <c r="J14" s="1253"/>
      <c r="K14" s="1254">
        <f>SUMIF('数据-汇总表'!C$19:C$33,A14,'数据-汇总表'!E$19:E$33)</f>
        <v>0</v>
      </c>
      <c r="L14" s="91">
        <v>2800</v>
      </c>
      <c r="M14" s="75">
        <f t="shared" si="0"/>
        <v>0</v>
      </c>
      <c r="N14" s="92">
        <f>N6</f>
        <v>0.83</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2014</v>
      </c>
      <c r="B16" s="97"/>
      <c r="C16" s="1008"/>
      <c r="D16" s="2313"/>
      <c r="E16" s="97"/>
      <c r="F16" s="97"/>
      <c r="G16" s="98">
        <f>ROUND(SUMPRODUCT(G6:G13,K6:K13)/SUMPRODUCT((G6:G13&gt;0)*(K6:K13)),3)</f>
        <v>0.82899999999999996</v>
      </c>
      <c r="H16" s="99">
        <f>ROUND(SUMPRODUCT(H6:H13,K6:K13)/SUMPRODUCT((H6:H13&gt;0)*(K6:K13)),3)</f>
        <v>4.5999999999999999E-2</v>
      </c>
      <c r="I16" s="100"/>
      <c r="J16" s="100"/>
      <c r="K16" s="101">
        <f>SUM(K6:K15)</f>
        <v>97562.76999999999</v>
      </c>
      <c r="L16" s="102">
        <f>ROUND(M16*10000/SUM(K6:K14),0)</f>
        <v>3985</v>
      </c>
      <c r="M16" s="102">
        <f>SUM(M6:M14)</f>
        <v>38883</v>
      </c>
      <c r="N16" s="103">
        <f>ROUND(SUMPRODUCT(M6:M14,N6:N14)/M16,3)</f>
        <v>0.83</v>
      </c>
      <c r="O16" s="102">
        <f>SUM(O6:O14)</f>
        <v>0</v>
      </c>
      <c r="P16" s="102">
        <f>SUM(P6:P14)</f>
        <v>0</v>
      </c>
      <c r="Q16" s="104">
        <f>ROUND(SUMPRODUCT(Q6:Q13,K6:K13)/SUMPRODUCT((Q6:Q13&gt;0)*(K6:K13)),2)</f>
        <v>0.26</v>
      </c>
      <c r="R16" s="1258">
        <f ca="1">SUM(R6:R13)</f>
        <v>12702.55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2016</v>
      </c>
      <c r="B19" s="112">
        <v>0</v>
      </c>
      <c r="C19" s="2276" t="s">
        <v>2017</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2018</v>
      </c>
      <c r="B20" s="113">
        <v>3</v>
      </c>
      <c r="C20" s="2276" t="s">
        <v>2019</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2020</v>
      </c>
      <c r="B21" s="113">
        <v>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2021</v>
      </c>
      <c r="B22" s="114">
        <f>B19+B20</f>
        <v>3</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2022</v>
      </c>
      <c r="B23" s="114">
        <f>B19+B21</f>
        <v>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2023</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2024</v>
      </c>
      <c r="B26" s="2319" t="s">
        <v>2025</v>
      </c>
      <c r="C26" s="2320" t="s">
        <v>2026</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2027</v>
      </c>
      <c r="B27" s="116">
        <v>0</v>
      </c>
      <c r="C27" s="1767" t="s">
        <v>2028</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v>0</v>
      </c>
      <c r="C29" s="1767" t="s">
        <v>2031</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0.05</v>
      </c>
      <c r="C33" s="1766" t="s">
        <v>2036</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6" t="s">
        <v>2038</v>
      </c>
      <c r="D34" s="2277" t="s">
        <v>2039</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6" t="s">
        <v>2041</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6" t="s">
        <v>2043</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2044</v>
      </c>
      <c r="B37" s="124">
        <v>0.02</v>
      </c>
      <c r="C37" s="1766" t="s">
        <v>2045</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2046</v>
      </c>
      <c r="B38" s="122">
        <v>0.02</v>
      </c>
      <c r="C38" s="1766" t="s">
        <v>2045</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2047</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2048</v>
      </c>
      <c r="B40" s="1303">
        <f ca="1">存贷款利率!G1</f>
        <v>4.7500000000000001E-2</v>
      </c>
      <c r="C40" s="1766" t="s">
        <v>2049</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2050</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2051</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2052</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2053</v>
      </c>
      <c r="B44" s="128">
        <v>7.0000000000000007E-2</v>
      </c>
      <c r="C44" s="1766" t="s">
        <v>2054</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2055</v>
      </c>
      <c r="B45" s="126">
        <v>0.03</v>
      </c>
      <c r="C45" s="1767" t="s">
        <v>2056</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2057</v>
      </c>
      <c r="B46" s="126">
        <v>0.02</v>
      </c>
      <c r="C46" s="1767" t="s">
        <v>2058</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2059</v>
      </c>
      <c r="B47" s="129">
        <v>0</v>
      </c>
      <c r="C47" s="1767" t="s">
        <v>2060</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2061</v>
      </c>
      <c r="B48" s="130">
        <v>0.03</v>
      </c>
      <c r="C48" s="1774" t="s">
        <v>2062</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2063</v>
      </c>
      <c r="B49" s="126">
        <v>5.0000000000000001E-4</v>
      </c>
      <c r="C49" s="1774" t="s">
        <v>2064</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2065</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2066</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2067</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2068</v>
      </c>
      <c r="B53" s="2335" t="s">
        <v>269</v>
      </c>
      <c r="C53" s="1430" t="s">
        <v>2069</v>
      </c>
      <c r="D53" s="2336" t="s">
        <v>2070</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2071</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2072</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2073</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2074</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2075</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2076</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2077</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2078</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2079</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2080</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36" sqref="E36"/>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1" t="s">
        <v>2081</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8"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8" t="s">
        <v>2093</v>
      </c>
      <c r="C5" s="2373" t="s">
        <v>2094</v>
      </c>
      <c r="D5" s="2370"/>
      <c r="E5" s="2374"/>
      <c r="F5" s="1798" t="s">
        <v>2095</v>
      </c>
      <c r="G5" s="2375" t="s">
        <v>2096</v>
      </c>
      <c r="H5" s="2367"/>
      <c r="I5" s="2367"/>
      <c r="J5" s="2367"/>
      <c r="K5" s="2367"/>
      <c r="L5" s="2367"/>
      <c r="M5" s="2367"/>
      <c r="N5" s="2367"/>
      <c r="O5" s="2367"/>
      <c r="P5" s="2367"/>
      <c r="Q5" s="2367"/>
      <c r="R5" s="2367"/>
    </row>
    <row r="6" spans="1:29" ht="54">
      <c r="A6" s="431"/>
      <c r="B6" s="1798" t="s">
        <v>2097</v>
      </c>
      <c r="C6" s="2375" t="s">
        <v>2092</v>
      </c>
      <c r="D6" s="2370"/>
      <c r="E6" s="2374"/>
      <c r="F6" s="1798" t="s">
        <v>2098</v>
      </c>
      <c r="G6" s="2375" t="s">
        <v>2099</v>
      </c>
      <c r="H6" s="2367"/>
      <c r="I6" s="2367"/>
      <c r="J6" s="2367"/>
      <c r="K6" s="2367"/>
      <c r="L6" s="2367"/>
      <c r="M6" s="2367"/>
      <c r="N6" s="2367"/>
      <c r="O6" s="2367"/>
      <c r="P6" s="2367"/>
      <c r="Q6" s="2367"/>
      <c r="R6" s="2367"/>
    </row>
    <row r="7" spans="1:29" ht="41.25" thickBot="1">
      <c r="A7" s="431"/>
      <c r="B7" s="1798"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8" t="s">
        <v>2098</v>
      </c>
      <c r="C8" s="2375" t="s">
        <v>2099</v>
      </c>
      <c r="D8" s="2376"/>
      <c r="E8" s="2376"/>
      <c r="F8" s="1136"/>
      <c r="G8" s="1136"/>
      <c r="H8" s="2367"/>
      <c r="I8" s="2367"/>
      <c r="J8" s="2367"/>
      <c r="K8" s="2367"/>
      <c r="L8" s="2367"/>
      <c r="M8" s="2367"/>
      <c r="N8" s="2367"/>
      <c r="O8" s="2367"/>
      <c r="P8" s="2367"/>
      <c r="Q8" s="2367"/>
      <c r="R8" s="2367"/>
    </row>
    <row r="9" spans="1:29" ht="27">
      <c r="A9" s="431"/>
      <c r="B9" s="1798"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72"/>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72"/>
      <c r="D19" s="2370"/>
      <c r="E19" s="2406"/>
      <c r="F19" s="1798"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8" t="s">
        <v>2114</v>
      </c>
      <c r="G20" s="136" t="str">
        <f>G6</f>
        <v>估价对象所在区域基础设施水平</v>
      </c>
    </row>
    <row r="21" spans="1:18" ht="28.5">
      <c r="A21" s="645"/>
      <c r="B21" s="1798" t="s">
        <v>2095</v>
      </c>
      <c r="C21" s="136" t="str">
        <f>C7</f>
        <v>估价对象所在区域公共配套设施齐备情况</v>
      </c>
      <c r="D21" s="2370"/>
      <c r="E21" s="2406"/>
      <c r="F21" s="2407" t="s">
        <v>2115</v>
      </c>
      <c r="G21" s="2408"/>
    </row>
    <row r="22" spans="1:18" ht="13.5" customHeight="1">
      <c r="A22" s="645"/>
      <c r="B22" s="1798" t="s">
        <v>2098</v>
      </c>
      <c r="C22" s="136" t="str">
        <f>C8</f>
        <v>估价对象所在区域基础设施水平</v>
      </c>
      <c r="D22" s="2370"/>
      <c r="E22" s="2406"/>
      <c r="F22" s="2407" t="s">
        <v>2104</v>
      </c>
      <c r="G22" s="1572"/>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97562.76999999999</v>
      </c>
      <c r="C1" s="1745"/>
      <c r="D1" s="1745"/>
      <c r="E1" s="1745"/>
      <c r="F1" s="1745"/>
      <c r="G1" s="1743"/>
    </row>
    <row r="2" spans="1:10" ht="16.5">
      <c r="A2" s="1746" t="s">
        <v>1353</v>
      </c>
      <c r="B2" s="1746">
        <f>SUM(C14:C23)</f>
        <v>12702.55</v>
      </c>
      <c r="C2" s="1745"/>
      <c r="D2" s="1745"/>
      <c r="E2" s="1745"/>
      <c r="F2" s="1745"/>
      <c r="G2" s="1743"/>
    </row>
    <row r="3" spans="1:10" ht="16.5">
      <c r="A3" s="1746" t="s">
        <v>1362</v>
      </c>
      <c r="B3" s="1747">
        <f>项目基本情况!D3</f>
        <v>43119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503217</v>
      </c>
      <c r="C5" s="1746">
        <f ca="1">ROUND(B5*10000/$B$1,0)</f>
        <v>51579</v>
      </c>
      <c r="D5" s="1746">
        <f ca="1">ROUND(B5*10000/$B$2,0)</f>
        <v>396154</v>
      </c>
      <c r="E5" s="1745"/>
      <c r="F5" s="1743"/>
      <c r="G5" s="1743"/>
    </row>
    <row r="6" spans="1:10" ht="16.5">
      <c r="A6" s="1746" t="s">
        <v>1356</v>
      </c>
      <c r="B6" s="1746">
        <f ca="1">SUM(G14:G23)</f>
        <v>363217</v>
      </c>
      <c r="C6" s="1746">
        <f ca="1">ROUND(B6*10000/$B$1,0)</f>
        <v>37229</v>
      </c>
      <c r="D6" s="1746">
        <f ca="1">ROUND(B6*10000/$B$2,0)</f>
        <v>285940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59992.51999999999</v>
      </c>
      <c r="C14" s="1744">
        <f>结果表!C118</f>
        <v>7810.95</v>
      </c>
      <c r="D14" s="1744">
        <f ca="1">结果表!H118</f>
        <v>411684</v>
      </c>
      <c r="E14" s="1744">
        <f ca="1">ROUND(D14*10000/B14,0)</f>
        <v>68623</v>
      </c>
      <c r="F14" s="1744">
        <f ca="1">ROUND(D14*10000/C14,0)</f>
        <v>527060</v>
      </c>
      <c r="G14" s="1744">
        <f ca="1">结果表!D122</f>
        <v>271684</v>
      </c>
      <c r="H14" s="1744" t="str">
        <f>结果表!D124</f>
        <v>——</v>
      </c>
      <c r="I14" s="1744" t="str">
        <f>结果表!D126</f>
        <v>——</v>
      </c>
      <c r="J14" s="1743"/>
    </row>
    <row r="15" spans="1:10" ht="16.5">
      <c r="A15" s="1742" t="s">
        <v>1349</v>
      </c>
      <c r="B15" s="1749">
        <f>'数据-汇总表'!G20</f>
        <v>13672.09</v>
      </c>
      <c r="C15" s="1749">
        <f>'数据-汇总表'!D20</f>
        <v>1780.09</v>
      </c>
      <c r="D15" s="1749">
        <v>63645</v>
      </c>
      <c r="E15" s="1744">
        <f t="shared" ref="E15:E23" si="0">ROUND(D15*10000/B15,0)</f>
        <v>46551</v>
      </c>
      <c r="F15" s="1744">
        <f t="shared" ref="F15:F23" si="1">ROUND(D15*10000/C15,0)</f>
        <v>357538</v>
      </c>
      <c r="G15" s="1750">
        <f>D15</f>
        <v>63645</v>
      </c>
      <c r="H15" s="1750" t="s">
        <v>3216</v>
      </c>
      <c r="I15" s="1749"/>
      <c r="J15" s="1743"/>
    </row>
    <row r="16" spans="1:10" ht="16.5">
      <c r="A16" s="1742" t="s">
        <v>1348</v>
      </c>
      <c r="B16" s="1749">
        <f>'数据-汇总表'!G21</f>
        <v>23898.16</v>
      </c>
      <c r="C16" s="1749">
        <f>'数据-汇总表'!D21</f>
        <v>3111.51</v>
      </c>
      <c r="D16" s="2966">
        <v>27888</v>
      </c>
      <c r="E16" s="1744">
        <f t="shared" si="0"/>
        <v>11670</v>
      </c>
      <c r="F16" s="1744">
        <f t="shared" si="1"/>
        <v>89629</v>
      </c>
      <c r="G16" s="1750">
        <f>D16</f>
        <v>27888</v>
      </c>
      <c r="H16" s="1750" t="s">
        <v>3216</v>
      </c>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0" sqref="F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3107</v>
      </c>
      <c r="D1" s="2418"/>
      <c r="E1" s="2418"/>
      <c r="F1" s="2420" t="s">
        <v>2119</v>
      </c>
      <c r="G1" s="2072" t="s">
        <v>3066</v>
      </c>
      <c r="H1" s="2421" t="str">
        <f>IF(G1="现房","——","估价对象范围")</f>
        <v>——</v>
      </c>
      <c r="I1" s="2422"/>
    </row>
    <row r="2" spans="1:12" ht="21.75" customHeight="1" thickBot="1">
      <c r="A2" s="3096" t="str">
        <f>项目基本情况!S2</f>
        <v>北京市朝阳区东三环中路65号楼房地产</v>
      </c>
      <c r="B2" s="3097"/>
      <c r="C2" s="3097"/>
      <c r="D2" s="3097"/>
      <c r="E2" s="3097"/>
      <c r="F2" s="3097"/>
      <c r="G2" s="3097"/>
      <c r="H2" s="3097"/>
      <c r="I2" s="3098"/>
    </row>
    <row r="3" spans="1:12" ht="12.75">
      <c r="A3" s="3100" t="s">
        <v>2120</v>
      </c>
      <c r="B3" s="3101"/>
      <c r="C3" s="3101"/>
      <c r="D3" s="3101"/>
      <c r="E3" s="3101"/>
      <c r="F3" s="3101"/>
      <c r="G3" s="3101"/>
      <c r="H3" s="3101"/>
      <c r="I3" s="3101"/>
    </row>
    <row r="4" spans="1:12" ht="14.25">
      <c r="A4" s="2425" t="s">
        <v>2121</v>
      </c>
      <c r="B4" s="2426" t="s">
        <v>2122</v>
      </c>
      <c r="C4" s="2427" t="s">
        <v>3204</v>
      </c>
      <c r="D4" s="2427"/>
      <c r="E4" s="3093" t="s">
        <v>2123</v>
      </c>
      <c r="F4" s="3094"/>
      <c r="G4" s="3094"/>
      <c r="H4" s="3094"/>
      <c r="I4" s="3102"/>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6" t="s">
        <v>2124</v>
      </c>
      <c r="B5" s="3014">
        <v>25</v>
      </c>
      <c r="C5" s="3079"/>
      <c r="D5" s="3099"/>
      <c r="E5" s="140" t="s">
        <v>2125</v>
      </c>
      <c r="F5" s="2429"/>
      <c r="G5" s="2429"/>
      <c r="H5" s="2429"/>
      <c r="I5" s="1834"/>
    </row>
    <row r="6" spans="1:12" ht="12.75">
      <c r="A6" s="3076"/>
      <c r="B6" s="3014"/>
      <c r="C6" s="3080"/>
      <c r="D6" s="3099"/>
      <c r="E6" s="140" t="s">
        <v>2126</v>
      </c>
      <c r="F6" s="2429"/>
      <c r="G6" s="2429"/>
      <c r="H6" s="2429"/>
      <c r="I6" s="1834"/>
    </row>
    <row r="7" spans="1:12" ht="12.75">
      <c r="A7" s="3076"/>
      <c r="B7" s="3014"/>
      <c r="C7" s="3081"/>
      <c r="D7" s="3099"/>
      <c r="E7" s="140" t="s">
        <v>2127</v>
      </c>
      <c r="F7" s="2429"/>
      <c r="G7" s="2429"/>
      <c r="H7" s="2429"/>
      <c r="I7" s="1834"/>
    </row>
    <row r="8" spans="1:12" ht="12.75">
      <c r="A8" s="3076" t="s">
        <v>2128</v>
      </c>
      <c r="B8" s="3014">
        <v>15</v>
      </c>
      <c r="C8" s="3079"/>
      <c r="D8" s="3099"/>
      <c r="E8" s="140" t="s">
        <v>2129</v>
      </c>
      <c r="F8" s="2429"/>
      <c r="G8" s="2429"/>
      <c r="H8" s="2429"/>
      <c r="I8" s="1834"/>
    </row>
    <row r="9" spans="1:12" ht="12.75">
      <c r="A9" s="3076"/>
      <c r="B9" s="3014"/>
      <c r="C9" s="3081"/>
      <c r="D9" s="3099"/>
      <c r="E9" s="140" t="s">
        <v>2130</v>
      </c>
      <c r="F9" s="2429"/>
      <c r="G9" s="2429"/>
      <c r="H9" s="2429"/>
      <c r="I9" s="1834"/>
    </row>
    <row r="10" spans="1:12" ht="12.75">
      <c r="A10" s="3076" t="s">
        <v>2131</v>
      </c>
      <c r="B10" s="3014">
        <v>15</v>
      </c>
      <c r="C10" s="3079"/>
      <c r="D10" s="3099"/>
      <c r="E10" s="140" t="s">
        <v>2132</v>
      </c>
      <c r="F10" s="2429"/>
      <c r="G10" s="2429"/>
      <c r="H10" s="2429"/>
      <c r="I10" s="1834"/>
    </row>
    <row r="11" spans="1:12" ht="12.75">
      <c r="A11" s="3076"/>
      <c r="B11" s="3014"/>
      <c r="C11" s="3081"/>
      <c r="D11" s="3099"/>
      <c r="E11" s="140" t="s">
        <v>2133</v>
      </c>
      <c r="F11" s="2429"/>
      <c r="G11" s="2429"/>
      <c r="H11" s="2429"/>
      <c r="I11" s="1834"/>
    </row>
    <row r="12" spans="1:12" ht="12.75">
      <c r="A12" s="3076" t="s">
        <v>2134</v>
      </c>
      <c r="B12" s="3014">
        <v>15</v>
      </c>
      <c r="C12" s="3079"/>
      <c r="D12" s="3099"/>
      <c r="E12" s="140" t="s">
        <v>2135</v>
      </c>
      <c r="F12" s="2429"/>
      <c r="G12" s="2429"/>
      <c r="H12" s="2429"/>
      <c r="I12" s="1834"/>
    </row>
    <row r="13" spans="1:12" ht="12.75">
      <c r="A13" s="3076"/>
      <c r="B13" s="3014"/>
      <c r="C13" s="3081"/>
      <c r="D13" s="3099"/>
      <c r="E13" s="140" t="s">
        <v>2136</v>
      </c>
      <c r="F13" s="2429"/>
      <c r="G13" s="2429"/>
      <c r="H13" s="2429"/>
      <c r="I13" s="1834"/>
    </row>
    <row r="14" spans="1:12" ht="12.75">
      <c r="A14" s="3076" t="s">
        <v>2137</v>
      </c>
      <c r="B14" s="3014">
        <v>30</v>
      </c>
      <c r="C14" s="3079">
        <v>65</v>
      </c>
      <c r="D14" s="3099">
        <v>35</v>
      </c>
      <c r="E14" s="140" t="s">
        <v>2138</v>
      </c>
      <c r="F14" s="2429"/>
      <c r="G14" s="2429"/>
      <c r="H14" s="2429"/>
      <c r="I14" s="1834"/>
    </row>
    <row r="15" spans="1:12" ht="12.75">
      <c r="A15" s="3076"/>
      <c r="B15" s="3014"/>
      <c r="C15" s="3080"/>
      <c r="D15" s="3099"/>
      <c r="E15" s="140" t="s">
        <v>2139</v>
      </c>
      <c r="F15" s="2429"/>
      <c r="G15" s="2429"/>
      <c r="H15" s="2429"/>
      <c r="I15" s="1834"/>
    </row>
    <row r="16" spans="1:12" ht="12.75">
      <c r="A16" s="3076"/>
      <c r="B16" s="3014"/>
      <c r="C16" s="3081"/>
      <c r="D16" s="3099"/>
      <c r="E16" s="140" t="s">
        <v>2140</v>
      </c>
      <c r="F16" s="2429"/>
      <c r="G16" s="2429"/>
      <c r="H16" s="2429"/>
      <c r="I16" s="1834"/>
    </row>
    <row r="17" spans="1:35" ht="15">
      <c r="A17" s="2430" t="s">
        <v>2141</v>
      </c>
      <c r="B17" s="64"/>
      <c r="C17" s="141">
        <f>SUM(C5:C16)</f>
        <v>65</v>
      </c>
      <c r="D17" s="141">
        <f>SUM(D5:D16)</f>
        <v>35</v>
      </c>
      <c r="E17" s="138"/>
      <c r="F17" s="138"/>
      <c r="G17" s="138"/>
      <c r="H17" s="138"/>
      <c r="I17" s="138"/>
      <c r="K17" s="2428"/>
      <c r="L17" s="2431" t="s">
        <v>2142</v>
      </c>
      <c r="M17" s="2431" t="s">
        <v>2143</v>
      </c>
    </row>
    <row r="18" spans="1:35" ht="15.75" thickBot="1">
      <c r="A18" s="2432" t="s">
        <v>2144</v>
      </c>
      <c r="B18" s="2433"/>
      <c r="C18" s="142">
        <f>ROUND(C17/SUM(C17:D17),2)</f>
        <v>0.65</v>
      </c>
      <c r="D18" s="142">
        <f>1-C18</f>
        <v>0.35</v>
      </c>
      <c r="E18" s="138"/>
      <c r="F18" s="138"/>
      <c r="G18" s="138"/>
      <c r="H18" s="138"/>
      <c r="I18" s="138"/>
      <c r="K18" s="2428" t="s">
        <v>2145</v>
      </c>
      <c r="L18" s="2428">
        <f>IF(C1="",'数据-汇总表'!E3,SUMIF(项目类型,C1,'数据-汇总表'!E17:E26)+SUMIF(项目类型,C1,'数据-汇总表'!I17:I26))</f>
        <v>59992.51999999999</v>
      </c>
      <c r="M18" s="2428">
        <f>IF(C1="",'数据-汇总表'!E3,SUMIF(项目类型,C1,'数据-汇总表'!E17:E26))</f>
        <v>59992.51999999999</v>
      </c>
    </row>
    <row r="19" spans="1:35" ht="15">
      <c r="A19" s="2434" t="s">
        <v>2146</v>
      </c>
      <c r="B19" s="2435" t="s">
        <v>2147</v>
      </c>
      <c r="C19" s="143">
        <f ca="1">SUMIF(INDIRECT("'"&amp;C4&amp;"'"&amp;"!A:A"),结果表!B19,INDIRECT("'"&amp;C4&amp;"'"&amp;"!B:B"))</f>
        <v>458870</v>
      </c>
      <c r="D19" s="2965">
        <v>324053</v>
      </c>
      <c r="E19" s="2434" t="s">
        <v>2148</v>
      </c>
      <c r="F19" s="2435" t="s">
        <v>2147</v>
      </c>
      <c r="G19" s="145">
        <f ca="1">ROUND(C19*$C$18+D19*$D$18,0)</f>
        <v>411684</v>
      </c>
      <c r="H19" s="2436" t="s">
        <v>2149</v>
      </c>
      <c r="I19" s="138"/>
      <c r="K19" s="2428" t="s">
        <v>2150</v>
      </c>
      <c r="L19" s="2428">
        <f>IF(C1="",'数据-汇总表'!D3,SUMIF(项目类型,C1,'数据-汇总表'!D17:D26)+SUMIF(项目类型,C1,'数据-汇总表'!H17:H27))</f>
        <v>7810.95</v>
      </c>
      <c r="M19" s="2428">
        <f>IF(C1="",'数据-汇总表'!D3,SUMIF(项目类型,C1,'数据-汇总表'!D17:D26))</f>
        <v>7810.95</v>
      </c>
    </row>
    <row r="20" spans="1:35" ht="15">
      <c r="A20" s="2437"/>
      <c r="B20" s="1250" t="s">
        <v>2151</v>
      </c>
      <c r="C20" s="146">
        <f ca="1">SUMIF(INDIRECT("'"&amp;C4&amp;"'"&amp;"!A:A"),结果表!B20,INDIRECT("'"&amp;C4&amp;"'"&amp;"!B:B"))</f>
        <v>76488</v>
      </c>
      <c r="D20" s="147" t="e">
        <f ca="1">SUMIF(INDIRECT("'"&amp;D4&amp;"'"&amp;"!A:A"),结果表!B20,INDIRECT("'"&amp;D4&amp;"'"&amp;"!B:B"))</f>
        <v>#REF!</v>
      </c>
      <c r="E20" s="2437"/>
      <c r="F20" s="1250" t="s">
        <v>2151</v>
      </c>
      <c r="G20" s="148" t="e">
        <f ca="1">ROUND(C20*$C$18+D20*$D$18,0)</f>
        <v>#REF!</v>
      </c>
      <c r="H20" s="983" t="s">
        <v>2152</v>
      </c>
      <c r="I20" s="138"/>
    </row>
    <row r="21" spans="1:35" ht="15" customHeight="1" thickBot="1">
      <c r="A21" s="1003"/>
      <c r="B21" s="2438" t="s">
        <v>2153</v>
      </c>
      <c r="C21" s="789">
        <f ca="1">ROUND(C19*10000/L19,0)</f>
        <v>587470</v>
      </c>
      <c r="D21" s="790">
        <f>ROUND(D19*10000/L19,0)</f>
        <v>414870</v>
      </c>
      <c r="E21" s="1003"/>
      <c r="F21" s="2438" t="s">
        <v>2153</v>
      </c>
      <c r="G21" s="149">
        <f ca="1">ROUND(G19*10000/L19,0)</f>
        <v>527060</v>
      </c>
      <c r="H21" s="2439" t="s">
        <v>2152</v>
      </c>
      <c r="I21" s="138"/>
    </row>
    <row r="22" spans="1:35" ht="15" thickBot="1">
      <c r="A22" s="2280" t="s">
        <v>2154</v>
      </c>
      <c r="B22" s="2440"/>
      <c r="C22" s="2441"/>
      <c r="D22" s="791">
        <f ca="1">IF(C19&lt;D19,D19/C19-1,C19/D19-1)</f>
        <v>0.41603379694062381</v>
      </c>
      <c r="E22" s="138"/>
      <c r="F22" s="138"/>
      <c r="G22" s="138"/>
      <c r="H22" s="138"/>
      <c r="I22" s="138"/>
    </row>
    <row r="23" spans="1:35" ht="13.5" thickBot="1">
      <c r="A23" s="2418"/>
      <c r="B23" s="2418"/>
      <c r="C23" s="2418"/>
      <c r="D23" s="2418"/>
      <c r="E23" s="138"/>
      <c r="F23" s="138"/>
      <c r="G23" s="138"/>
      <c r="H23" s="138"/>
      <c r="I23" s="138"/>
    </row>
    <row r="24" spans="1:35" ht="14.25">
      <c r="A24" s="3070" t="s">
        <v>2155</v>
      </c>
      <c r="B24" s="2435" t="s">
        <v>2147</v>
      </c>
      <c r="C24" s="145">
        <f>IF(B30=0,0,D30)</f>
        <v>0</v>
      </c>
      <c r="D24" s="2442"/>
      <c r="E24" s="138"/>
      <c r="F24" s="138"/>
      <c r="G24" s="138"/>
      <c r="H24" s="138"/>
      <c r="I24" s="138"/>
    </row>
    <row r="25" spans="1:35" ht="14.25">
      <c r="A25" s="3071"/>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6"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411684</v>
      </c>
      <c r="D32" s="2449" t="s">
        <v>2162</v>
      </c>
      <c r="E32" s="138"/>
      <c r="F32" s="138"/>
      <c r="G32" s="138"/>
      <c r="H32" s="138"/>
      <c r="I32" s="138"/>
    </row>
    <row r="33" spans="1:15" ht="15">
      <c r="A33" s="960"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2166</v>
      </c>
      <c r="F34" s="1739"/>
      <c r="G34" s="138"/>
      <c r="H34" s="138"/>
      <c r="I34" s="138"/>
    </row>
    <row r="35" spans="1:15" ht="15.75" thickBot="1">
      <c r="A35" s="2458"/>
      <c r="B35" s="2459"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088" t="s">
        <v>2169</v>
      </c>
      <c r="B36" s="2461" t="s">
        <v>2170</v>
      </c>
      <c r="C36" s="154">
        <v>140000</v>
      </c>
      <c r="D36" s="2462" t="s">
        <v>3217</v>
      </c>
      <c r="E36" s="2463"/>
      <c r="F36" s="2464"/>
      <c r="G36" s="138"/>
      <c r="H36" s="138"/>
      <c r="I36" s="138"/>
    </row>
    <row r="37" spans="1:15" ht="15.75" thickBot="1">
      <c r="A37" s="3089"/>
      <c r="B37" s="2266" t="s">
        <v>2171</v>
      </c>
      <c r="C37" s="156"/>
      <c r="D37" s="1395"/>
      <c r="E37" s="1395"/>
      <c r="F37" s="2464"/>
      <c r="G37" s="138"/>
      <c r="H37" s="138"/>
      <c r="I37" s="138"/>
    </row>
    <row r="38" spans="1:15" ht="15.75" thickBot="1">
      <c r="A38" s="3090"/>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67" t="s">
        <v>2183</v>
      </c>
      <c r="B45" s="3068"/>
      <c r="C45" s="3069"/>
      <c r="D45" s="164">
        <f ca="1">ROUND(H101*F45,0)</f>
        <v>411684</v>
      </c>
      <c r="E45" s="165" t="s">
        <v>2184</v>
      </c>
      <c r="F45" s="166">
        <v>1</v>
      </c>
      <c r="G45" s="167" t="s">
        <v>2185</v>
      </c>
      <c r="H45" s="138"/>
      <c r="I45" s="138"/>
      <c r="J45" s="3127" t="s">
        <v>2186</v>
      </c>
      <c r="K45" s="3127"/>
      <c r="L45" s="3127"/>
      <c r="M45" s="3127"/>
      <c r="N45" s="3127"/>
      <c r="O45" s="3127"/>
    </row>
    <row r="46" spans="1:15" ht="14.25" customHeight="1">
      <c r="A46" s="3064" t="s">
        <v>2187</v>
      </c>
      <c r="B46" s="3065"/>
      <c r="C46" s="3065"/>
      <c r="D46" s="3065"/>
      <c r="E46" s="3065"/>
      <c r="F46" s="3065"/>
      <c r="G46" s="3066"/>
      <c r="H46" s="2480"/>
      <c r="I46" s="168"/>
      <c r="J46" s="1812">
        <v>1</v>
      </c>
      <c r="K46" s="3127" t="s">
        <v>2188</v>
      </c>
      <c r="L46" s="3127"/>
      <c r="M46" s="3147"/>
      <c r="N46" s="3147"/>
      <c r="O46" s="3147"/>
    </row>
    <row r="47" spans="1:15" ht="12" customHeight="1">
      <c r="A47" s="169" t="s">
        <v>2189</v>
      </c>
      <c r="B47" s="170"/>
      <c r="C47" s="171"/>
      <c r="D47" s="172" t="s">
        <v>2190</v>
      </c>
      <c r="E47" s="24" t="s">
        <v>2191</v>
      </c>
      <c r="F47" s="173" t="s">
        <v>2192</v>
      </c>
      <c r="G47" s="174" t="s">
        <v>2193</v>
      </c>
      <c r="H47" s="2480"/>
      <c r="I47" s="168"/>
      <c r="J47" s="1812">
        <v>2</v>
      </c>
      <c r="K47" s="3127" t="s">
        <v>2194</v>
      </c>
      <c r="L47" s="3127"/>
      <c r="M47" s="3148">
        <f>'数据-取费表'!B2</f>
        <v>43119</v>
      </c>
      <c r="N47" s="3148"/>
      <c r="O47" s="3148"/>
    </row>
    <row r="48" spans="1:15" ht="25.5">
      <c r="A48" s="3095" t="s">
        <v>2195</v>
      </c>
      <c r="B48" s="3078"/>
      <c r="C48" s="3078"/>
      <c r="D48" s="140">
        <f>IF(H48="情况1",0,IF(H48="情况2",D52,IF(H48="情况3",D53,IF(H48="情况4",D54))))</f>
        <v>0</v>
      </c>
      <c r="E48" s="1801" t="str">
        <f>IF(H48="情况4","(销售额-原购置价)×税（费）率","销售额×税（费）率")</f>
        <v>销售额×税（费）率</v>
      </c>
      <c r="F48" s="175" t="str">
        <f>IF(H48="情况1","免征",'数据-取费表'!B41)</f>
        <v>免征</v>
      </c>
      <c r="G48" s="2481" t="s">
        <v>2196</v>
      </c>
      <c r="H48" s="2482" t="s">
        <v>2197</v>
      </c>
      <c r="I48" s="2480"/>
      <c r="J48" s="1812">
        <v>3</v>
      </c>
      <c r="K48" s="3127" t="s">
        <v>2198</v>
      </c>
      <c r="L48" s="3127"/>
      <c r="M48" s="3149">
        <f ca="1">H101</f>
        <v>411684</v>
      </c>
      <c r="N48" s="3149"/>
      <c r="O48" s="3149"/>
    </row>
    <row r="49" spans="1:35" ht="25.5" customHeight="1">
      <c r="A49" s="176" t="s">
        <v>2199</v>
      </c>
      <c r="B49" s="3063" t="s">
        <v>2200</v>
      </c>
      <c r="C49" s="3063"/>
      <c r="D49" s="177">
        <v>0</v>
      </c>
      <c r="E49" s="23" t="s">
        <v>2201</v>
      </c>
      <c r="F49" s="28" t="s">
        <v>34</v>
      </c>
      <c r="G49" s="3133"/>
      <c r="H49" s="138"/>
      <c r="I49" s="2483"/>
      <c r="J49" s="1812">
        <v>4</v>
      </c>
      <c r="K49" s="3127" t="str">
        <f>IF(项目基本情况!E8="房地产抵押价值","房地产抵押价值","抵押担保权已注销时的房地产抵押价值")</f>
        <v>房地产抵押价值</v>
      </c>
      <c r="L49" s="3127"/>
      <c r="M49" s="3149">
        <f ca="1">IF(项目基本情况!E8="房地产抵押价值",H107,H109)</f>
        <v>271684</v>
      </c>
      <c r="N49" s="3149"/>
      <c r="O49" s="3149"/>
    </row>
    <row r="50" spans="1:35" ht="25.5" customHeight="1">
      <c r="A50" s="178"/>
      <c r="B50" s="3063" t="s">
        <v>2202</v>
      </c>
      <c r="C50" s="3063"/>
      <c r="D50" s="179"/>
      <c r="E50" s="31"/>
      <c r="F50" s="180"/>
      <c r="G50" s="3134"/>
      <c r="H50" s="138"/>
      <c r="I50" s="2483"/>
      <c r="J50" s="3127" t="s">
        <v>2203</v>
      </c>
      <c r="K50" s="3127"/>
      <c r="L50" s="3127"/>
      <c r="M50" s="3127"/>
      <c r="N50" s="3127"/>
      <c r="O50" s="3127"/>
    </row>
    <row r="51" spans="1:35" ht="12" customHeight="1">
      <c r="A51" s="181"/>
      <c r="B51" s="3063" t="s">
        <v>2204</v>
      </c>
      <c r="C51" s="3063"/>
      <c r="D51" s="182"/>
      <c r="E51" s="30"/>
      <c r="F51" s="180"/>
      <c r="G51" s="3135"/>
      <c r="H51" s="138"/>
      <c r="I51" s="2483"/>
      <c r="J51" s="2484" t="s">
        <v>2205</v>
      </c>
      <c r="K51" s="3127" t="s">
        <v>2206</v>
      </c>
      <c r="L51" s="3127"/>
      <c r="M51" s="2484" t="s">
        <v>2207</v>
      </c>
      <c r="N51" s="2484" t="s">
        <v>2208</v>
      </c>
      <c r="O51" s="2484" t="s">
        <v>2209</v>
      </c>
    </row>
    <row r="52" spans="1:35" ht="24" customHeight="1">
      <c r="A52" s="183" t="s">
        <v>2210</v>
      </c>
      <c r="B52" s="3063" t="s">
        <v>2211</v>
      </c>
      <c r="C52" s="3063"/>
      <c r="D52" s="182">
        <f ca="1">ROUND(D45*'数据-取费表'!B41/(1+'数据-取费表'!C42),0)</f>
        <v>21956</v>
      </c>
      <c r="E52" s="11" t="s">
        <v>2212</v>
      </c>
      <c r="F52" s="184">
        <f>'数据-取费表'!B41</f>
        <v>5.6000000000000001E-2</v>
      </c>
      <c r="G52" s="2485"/>
      <c r="H52" s="138"/>
      <c r="I52" s="2483"/>
      <c r="J52" s="1812">
        <v>1</v>
      </c>
      <c r="K52" s="3128" t="s">
        <v>2213</v>
      </c>
      <c r="L52" s="3128"/>
      <c r="M52" s="1754">
        <f>D48</f>
        <v>0</v>
      </c>
      <c r="N52" s="1812" t="str">
        <f>E48</f>
        <v>销售额×税（费）率</v>
      </c>
      <c r="O52" s="1755" t="str">
        <f>F48</f>
        <v>免征</v>
      </c>
    </row>
    <row r="53" spans="1:35" ht="12" customHeight="1">
      <c r="A53" s="183" t="s">
        <v>2214</v>
      </c>
      <c r="B53" s="3086" t="s">
        <v>2215</v>
      </c>
      <c r="C53" s="3087"/>
      <c r="D53" s="182">
        <f ca="1">ROUND(D45*'数据-取费表'!B41/(1+'数据-取费表'!C42),0)</f>
        <v>21956</v>
      </c>
      <c r="E53" s="11" t="s">
        <v>2212</v>
      </c>
      <c r="F53" s="184">
        <f>'数据-取费表'!B41</f>
        <v>5.6000000000000001E-2</v>
      </c>
      <c r="G53" s="2485"/>
      <c r="H53" s="138"/>
      <c r="I53" s="2483"/>
      <c r="J53" s="1812">
        <v>2</v>
      </c>
      <c r="K53" s="3128" t="s">
        <v>2216</v>
      </c>
      <c r="L53" s="3128"/>
      <c r="M53" s="1754">
        <f t="shared" ref="M53:O54" ca="1" si="0">D55</f>
        <v>206</v>
      </c>
      <c r="N53" s="1812" t="str">
        <f t="shared" si="0"/>
        <v>销售额×税（费）率</v>
      </c>
      <c r="O53" s="1755">
        <f t="shared" si="0"/>
        <v>5.0000000000000001E-4</v>
      </c>
    </row>
    <row r="54" spans="1:35" ht="12" customHeight="1">
      <c r="A54" s="183" t="s">
        <v>2217</v>
      </c>
      <c r="B54" s="3086" t="s">
        <v>2218</v>
      </c>
      <c r="C54" s="3087"/>
      <c r="D54" s="182">
        <f ca="1">C68</f>
        <v>21956</v>
      </c>
      <c r="E54" s="30" t="s">
        <v>2219</v>
      </c>
      <c r="F54" s="184">
        <f>'数据-取费表'!B41</f>
        <v>5.6000000000000001E-2</v>
      </c>
      <c r="G54" s="2485"/>
      <c r="H54" s="2486"/>
      <c r="I54" s="2483"/>
      <c r="J54" s="1812">
        <v>3</v>
      </c>
      <c r="K54" s="3128" t="s">
        <v>2220</v>
      </c>
      <c r="L54" s="3128"/>
      <c r="M54" s="1754">
        <f t="shared" ca="1" si="0"/>
        <v>233014</v>
      </c>
      <c r="N54" s="1812" t="str">
        <f t="shared" si="0"/>
        <v>增值额×税（费）率</v>
      </c>
      <c r="O54" s="1756" t="str">
        <f t="shared" si="0"/>
        <v>——</v>
      </c>
    </row>
    <row r="55" spans="1:35" ht="24" customHeight="1">
      <c r="A55" s="3077" t="s">
        <v>2221</v>
      </c>
      <c r="B55" s="3078"/>
      <c r="C55" s="3078"/>
      <c r="D55" s="185">
        <f ca="1">IF(H55="个人住宅",0,ROUND(D45*I55,0))</f>
        <v>206</v>
      </c>
      <c r="E55" s="11" t="s">
        <v>2222</v>
      </c>
      <c r="F55" s="184">
        <f>IF(H55="正常",I55,"免征")</f>
        <v>5.0000000000000001E-4</v>
      </c>
      <c r="G55" s="2485"/>
      <c r="H55" s="2482" t="s">
        <v>2223</v>
      </c>
      <c r="I55" s="186">
        <f>'数据-取费表'!B49</f>
        <v>5.0000000000000001E-4</v>
      </c>
      <c r="J55" s="1812" t="str">
        <f>IF(H59="非个人房产","",4)</f>
        <v/>
      </c>
      <c r="K55" s="3128" t="str">
        <f>IF(H59="非个人房产","——","个人所得税")</f>
        <v>——</v>
      </c>
      <c r="L55" s="3128"/>
      <c r="M55" s="1757" t="str">
        <f>D59</f>
        <v>——</v>
      </c>
      <c r="N55" s="1810" t="str">
        <f>E59</f>
        <v>——</v>
      </c>
      <c r="O55" s="1758" t="str">
        <f>F59</f>
        <v>——</v>
      </c>
    </row>
    <row r="56" spans="1:35" ht="24.75">
      <c r="A56" s="3077" t="s">
        <v>2224</v>
      </c>
      <c r="B56" s="3078"/>
      <c r="C56" s="3078"/>
      <c r="D56" s="185">
        <f ca="1">IF(H56="个人住宅",D57,D58)</f>
        <v>233014</v>
      </c>
      <c r="E56" s="11" t="s">
        <v>2225</v>
      </c>
      <c r="F56" s="184" t="str">
        <f>IF(H56="正常",F58,"免征")</f>
        <v>——</v>
      </c>
      <c r="G56" s="2487" t="s">
        <v>2226</v>
      </c>
      <c r="H56" s="2488" t="s">
        <v>2223</v>
      </c>
      <c r="I56" s="2489"/>
      <c r="J56" s="1812" t="str">
        <f>IF(项目基本情况!K6="上海银行",IF(J55="",4,J55+1),"")</f>
        <v/>
      </c>
      <c r="K56" s="3151" t="str">
        <f>IF(项目基本情况!K6="上海银行","其他处置费用","")</f>
        <v/>
      </c>
      <c r="L56" s="3152"/>
      <c r="M56" s="1754" t="str">
        <f>IF(项目基本情况!K6="上海银行",M69,"")</f>
        <v/>
      </c>
      <c r="N56" s="3154" t="str">
        <f>IF(项目基本情况!K6="上海银行","包含处置中涉及的律师、诉讼、拍卖、评估等费用","")</f>
        <v/>
      </c>
      <c r="O56" s="3155"/>
    </row>
    <row r="57" spans="1:35" ht="12.75">
      <c r="A57" s="183" t="s">
        <v>2199</v>
      </c>
      <c r="B57" s="3093" t="s">
        <v>2227</v>
      </c>
      <c r="C57" s="3102"/>
      <c r="D57" s="187">
        <v>0</v>
      </c>
      <c r="E57" s="23" t="s">
        <v>2201</v>
      </c>
      <c r="F57" s="155"/>
      <c r="G57" s="2485"/>
      <c r="H57" s="2489"/>
      <c r="I57" s="2489"/>
      <c r="J57" s="3128">
        <f>IF(AND(J55="",J56=""),4,IF(项目基本情况!K6="上海银行",结果表!J56+1,结果表!J55+1))</f>
        <v>4</v>
      </c>
      <c r="K57" s="3128" t="s">
        <v>2228</v>
      </c>
      <c r="L57" s="2490" t="s">
        <v>2229</v>
      </c>
      <c r="M57" s="1759"/>
      <c r="N57" s="1760">
        <f ca="1">SUMIF(M52:M56,"&lt;9e307")</f>
        <v>233220</v>
      </c>
      <c r="O57" s="2491"/>
      <c r="P57" s="1753">
        <f ca="1">N57/M49</f>
        <v>0.85842375701182261</v>
      </c>
    </row>
    <row r="58" spans="1:35" ht="24.75">
      <c r="A58" s="183" t="s">
        <v>2210</v>
      </c>
      <c r="B58" s="3093" t="s">
        <v>2230</v>
      </c>
      <c r="C58" s="3094"/>
      <c r="D58" s="185">
        <f ca="1">IF(H58="转让取得",C81,C97)</f>
        <v>233014</v>
      </c>
      <c r="E58" s="11" t="s">
        <v>2225</v>
      </c>
      <c r="F58" s="24" t="s">
        <v>34</v>
      </c>
      <c r="G58" s="2485"/>
      <c r="H58" s="2488" t="s">
        <v>2231</v>
      </c>
      <c r="I58" s="2489"/>
      <c r="J58" s="3128"/>
      <c r="K58" s="3128"/>
      <c r="L58" s="2490" t="s">
        <v>2232</v>
      </c>
      <c r="M58" s="1761"/>
      <c r="N58" s="2492" t="str">
        <f ca="1">NUMBERSTRING(INT(N57*10000),2)&amp;"元整"</f>
        <v>贰拾叁亿叁仟贰佰贰拾万元整</v>
      </c>
      <c r="O58" s="2493"/>
    </row>
    <row r="59" spans="1:35" ht="24.75" thickBot="1">
      <c r="A59" s="3131" t="s">
        <v>2233</v>
      </c>
      <c r="B59" s="3132"/>
      <c r="C59" s="313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29">
        <f>J57+1</f>
        <v>5</v>
      </c>
      <c r="K59" s="3128" t="s">
        <v>2235</v>
      </c>
      <c r="L59" s="1812" t="s">
        <v>2229</v>
      </c>
      <c r="M59" s="1762"/>
      <c r="N59" s="1763">
        <f ca="1">M49-N57</f>
        <v>38464</v>
      </c>
      <c r="O59" s="2495"/>
    </row>
    <row r="60" spans="1:35" ht="12" customHeight="1">
      <c r="A60" s="2496"/>
      <c r="B60" s="2418"/>
      <c r="C60" s="2418"/>
      <c r="D60" s="2418"/>
      <c r="E60" s="2167"/>
      <c r="F60" s="2489"/>
      <c r="G60" s="2489"/>
      <c r="H60" s="2497"/>
      <c r="I60" s="138"/>
      <c r="J60" s="3130"/>
      <c r="K60" s="3128"/>
      <c r="L60" s="2490" t="s">
        <v>2232</v>
      </c>
      <c r="M60" s="1761"/>
      <c r="N60" s="2492" t="str">
        <f ca="1">NUMBERSTRING(INT(N59*10000),2)&amp;"元整"</f>
        <v>叁亿捌仟肆佰陆拾肆万元整</v>
      </c>
      <c r="O60" s="2493"/>
    </row>
    <row r="61" spans="1:35" ht="13.5" thickBot="1">
      <c r="A61" s="3075" t="s">
        <v>2236</v>
      </c>
      <c r="B61" s="3075"/>
      <c r="C61" s="3075"/>
      <c r="D61" s="3075"/>
      <c r="E61" s="3075"/>
      <c r="F61" s="2489"/>
      <c r="G61" s="2489"/>
      <c r="H61" s="2497"/>
      <c r="I61" s="138"/>
      <c r="J61" s="1812">
        <f>J59+1</f>
        <v>6</v>
      </c>
      <c r="K61" s="3128" t="s">
        <v>2237</v>
      </c>
      <c r="L61" s="3128"/>
      <c r="M61" s="1764"/>
      <c r="N61" s="1765">
        <f ca="1">ROUND(N59*10000/'数据-汇总表'!E3,0)</f>
        <v>3942</v>
      </c>
      <c r="O61" s="2498"/>
    </row>
    <row r="62" spans="1:35" ht="12.75">
      <c r="A62" s="3091" t="s">
        <v>2238</v>
      </c>
      <c r="B62" s="3092"/>
      <c r="C62" s="1804"/>
      <c r="D62" s="1804" t="s">
        <v>2239</v>
      </c>
      <c r="E62" s="192" t="s">
        <v>2240</v>
      </c>
      <c r="F62" s="2489"/>
      <c r="G62" s="2489"/>
      <c r="H62" s="2497"/>
      <c r="I62" s="138"/>
    </row>
    <row r="63" spans="1:35" ht="12.75">
      <c r="A63" s="203" t="s">
        <v>775</v>
      </c>
      <c r="B63" s="193" t="s">
        <v>2241</v>
      </c>
      <c r="C63" s="194">
        <f ca="1">ROUND((C64+C65)/(1+'数据-取费表'!C42),0)</f>
        <v>392080</v>
      </c>
      <c r="D63" s="195"/>
      <c r="E63" s="196"/>
      <c r="F63" s="2489"/>
      <c r="G63" s="2489"/>
      <c r="H63" s="2497"/>
      <c r="I63" s="138"/>
      <c r="J63" s="3153" t="s">
        <v>2242</v>
      </c>
      <c r="K63" s="2499" t="s">
        <v>2243</v>
      </c>
      <c r="L63" s="1752">
        <f ca="1">IF(M49&gt;10000,M49*0.5%,IF(AND(M49&gt;1000,M49&lt;=10000),M49*1%,IF(AND(M49&gt;100,M49&lt;=1000),M49*3%,IF(AND(M49&gt;10,M49&lt;=100),M49*5%,M49*8%))))</f>
        <v>1358.42</v>
      </c>
      <c r="M63" s="24">
        <f ca="1">ROUND(L63,1)</f>
        <v>1358.4</v>
      </c>
      <c r="Z63" s="2423"/>
      <c r="AI63" s="2424"/>
    </row>
    <row r="64" spans="1:35" ht="14.25" customHeight="1">
      <c r="A64" s="197" t="s">
        <v>770</v>
      </c>
      <c r="B64" s="198" t="s">
        <v>2244</v>
      </c>
      <c r="C64" s="199">
        <f ca="1">D45</f>
        <v>411684</v>
      </c>
      <c r="D64" s="200" t="s">
        <v>32</v>
      </c>
      <c r="E64" s="201"/>
      <c r="F64" s="2489"/>
      <c r="G64" s="2489"/>
      <c r="H64" s="2497"/>
      <c r="I64" s="138"/>
      <c r="J64" s="3153"/>
      <c r="K64" s="2499" t="s">
        <v>2245</v>
      </c>
      <c r="L64" s="1752">
        <f ca="1">IF(M49&gt;2000,M49*0.5%,IF(AND(M49&gt;1000,M49&lt;=2000),M49*0.6%,IF(AND(M49&gt;500,M49&lt;=1000),M49*0.7%,IF(AND(M49&gt;200,M49&lt;=500),M49*0.8%,IF(AND(M49&gt;100,M49&lt;=200),M49*0.9%,IF(AND(M49&gt;50,M49&lt;=100),M49*1%,IF(AND(M49&gt;20,M49&lt;=50),M49*1.5%,IF(AND(M49&gt;10,M49&lt;=20),M49*2%,IF(AND(M49&gt;1,M49&lt;=10),M49*2.5%)))))))))</f>
        <v>1358.42</v>
      </c>
      <c r="M64" s="24">
        <f t="shared" ref="M64:M65" ca="1" si="1">ROUND(L64,1)</f>
        <v>1358.4</v>
      </c>
      <c r="N64" s="138" t="s">
        <v>2246</v>
      </c>
      <c r="Z64" s="2423"/>
      <c r="AI64" s="2424"/>
    </row>
    <row r="65" spans="1:35" ht="14.25" customHeight="1">
      <c r="A65" s="197" t="s">
        <v>771</v>
      </c>
      <c r="B65" s="198" t="s">
        <v>2247</v>
      </c>
      <c r="C65" s="202"/>
      <c r="D65" s="200"/>
      <c r="E65" s="201"/>
      <c r="F65" s="2489"/>
      <c r="G65" s="2489"/>
      <c r="H65" s="2497"/>
      <c r="I65" s="138"/>
      <c r="J65" s="3153"/>
      <c r="K65" s="2499" t="s">
        <v>2248</v>
      </c>
      <c r="L65" s="1752">
        <f ca="1">IF(M49&gt;1000,M49*0.1%,IF(AND(M49&gt;500,M49&lt;=1000),M49*0.5%,IF(AND(M49&gt;50,M49&lt;=500),M49*1%,IF(AND(M49&gt;1,M49&lt;=50),M49*1.5%))))</f>
        <v>271.68400000000003</v>
      </c>
      <c r="M65" s="24">
        <f t="shared" ca="1" si="1"/>
        <v>271.7</v>
      </c>
      <c r="N65" s="138" t="s">
        <v>2246</v>
      </c>
      <c r="Z65" s="2423"/>
      <c r="AI65" s="2424"/>
    </row>
    <row r="66" spans="1:35" ht="14.25" customHeight="1">
      <c r="A66" s="203" t="s">
        <v>772</v>
      </c>
      <c r="B66" s="204" t="s">
        <v>2249</v>
      </c>
      <c r="C66" s="205"/>
      <c r="D66" s="206" t="s">
        <v>32</v>
      </c>
      <c r="E66" s="1776" t="s">
        <v>1371</v>
      </c>
      <c r="F66" s="2489"/>
      <c r="G66" s="2489"/>
      <c r="H66" s="2497"/>
      <c r="I66" s="138"/>
      <c r="J66" s="3153"/>
      <c r="K66" s="2499" t="s">
        <v>2250</v>
      </c>
      <c r="L66" s="1752">
        <f ca="1">M49*0.5%</f>
        <v>1358.42</v>
      </c>
      <c r="M66" s="24">
        <f ca="1">IF(L66&gt;0.5,0.5,ROUND(L66,0))</f>
        <v>0.5</v>
      </c>
      <c r="N66" s="138" t="s">
        <v>2251</v>
      </c>
      <c r="Z66" s="2423"/>
      <c r="AI66" s="2424"/>
    </row>
    <row r="67" spans="1:35" ht="14.25" customHeight="1">
      <c r="A67" s="203" t="s">
        <v>773</v>
      </c>
      <c r="B67" s="204" t="s">
        <v>2252</v>
      </c>
      <c r="C67" s="207">
        <f ca="1">C63-C66</f>
        <v>392080</v>
      </c>
      <c r="D67" s="200" t="s">
        <v>32</v>
      </c>
      <c r="E67" s="201"/>
      <c r="F67" s="2489"/>
      <c r="G67" s="2489"/>
      <c r="H67" s="2497"/>
      <c r="I67" s="138"/>
      <c r="J67" s="3153"/>
      <c r="K67" s="2499" t="s">
        <v>2253</v>
      </c>
      <c r="L67" s="1752">
        <f ca="1">IF(M49&gt;=10000,(8.25+(M49-10000)*0.01%),IF(AND(M49&gt;=8000,M49&lt;10000),(7.85+(M49-8000)*0.02%),IF(AND(M49&gt;=5000,M49&lt;8000),(6.65+(M49-5000)*0.04%),IF(AND(M49&gt;=2000,M49&lt;5000),(4.25+(PM49-2000)*0.08%),IF(AND(M49&gt;=1000,M49&lt;2000),(2.75+(M49-1000)*0.15%),IF(AND(M49&gt;=100,M49&lt;1000),(0.5+(M49-100)*0.25%),IF(AND(M49&gt;0,M49&lt;100),M49*0.5%)))))))</f>
        <v>34.418400000000005</v>
      </c>
      <c r="M67" s="24">
        <f ca="1">ROUND(L67*0.9,1)</f>
        <v>31</v>
      </c>
      <c r="Z67" s="2423"/>
      <c r="AI67" s="2424"/>
    </row>
    <row r="68" spans="1:35" ht="14.25" customHeight="1" thickBot="1">
      <c r="A68" s="208" t="s">
        <v>774</v>
      </c>
      <c r="B68" s="209" t="s">
        <v>2254</v>
      </c>
      <c r="C68" s="210">
        <f ca="1">IF(C67&lt;=0,0,ROUND(C67*D68,0))</f>
        <v>21956</v>
      </c>
      <c r="D68" s="211">
        <f>'数据-取费表'!B41</f>
        <v>5.6000000000000001E-2</v>
      </c>
      <c r="E68" s="212"/>
      <c r="F68" s="2489"/>
      <c r="G68" s="2489"/>
      <c r="H68" s="2497"/>
      <c r="I68" s="138"/>
      <c r="J68" s="3153"/>
      <c r="K68" s="2499" t="s">
        <v>2255</v>
      </c>
      <c r="L68" s="1752">
        <f ca="1">IF(M49&gt;10000,M49*0.5%,IF(AND(M49&gt;5000,M49&lt;=10000),M49*1%,IF(AND(M49&gt;1000,M49&lt;=5000),M49*2%,IF(AND(M49&gt;200,M49&lt;=1000),M49*3%,M49*5%))))</f>
        <v>1358.42</v>
      </c>
      <c r="M68" s="24">
        <f ca="1">ROUND(L68,1)</f>
        <v>1358.4</v>
      </c>
      <c r="Z68" s="2423"/>
      <c r="AI68" s="2424"/>
    </row>
    <row r="69" spans="1:35" s="2446" customFormat="1" ht="16.5" customHeight="1">
      <c r="A69" s="2500"/>
      <c r="B69" s="2501"/>
      <c r="C69" s="2502"/>
      <c r="D69" s="2503"/>
      <c r="E69" s="2504"/>
      <c r="F69" s="2167"/>
      <c r="G69" s="2167"/>
      <c r="H69" s="2166"/>
      <c r="I69" s="2418"/>
      <c r="J69" s="3153"/>
      <c r="K69" s="2499" t="s">
        <v>2256</v>
      </c>
      <c r="L69" s="2505"/>
      <c r="M69" s="24">
        <f ca="1">ROUND(SUM(M63:M68),0)</f>
        <v>4378</v>
      </c>
      <c r="N69" s="1753">
        <f ca="1">M69/M49</f>
        <v>1.6114309271064914E-2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2" t="s">
        <v>2257</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1" t="s">
        <v>2238</v>
      </c>
      <c r="B71" s="3092"/>
      <c r="C71" s="1804"/>
      <c r="D71" s="1804"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392080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2352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86" t="s">
        <v>2266</v>
      </c>
      <c r="F76" s="3063"/>
      <c r="G76" s="3063"/>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2352</v>
      </c>
      <c r="D78" s="226">
        <f>'数据-取费表'!B43</f>
        <v>6.000000000000001E-3</v>
      </c>
      <c r="E78" s="3072" t="s">
        <v>2271</v>
      </c>
      <c r="F78" s="3073"/>
      <c r="G78" s="3073"/>
      <c r="H78" s="308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389728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165.70068027210885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233014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2" t="s">
        <v>2275</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1" t="s">
        <v>2238</v>
      </c>
      <c r="B84" s="3092"/>
      <c r="C84" s="1804"/>
      <c r="D84" s="1804"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392080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2352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800"/>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IF(H91="——",'成本法-地下仓储'!C33,I91)</f>
        <v>0</v>
      </c>
      <c r="D91" s="226"/>
      <c r="E91" s="3072" t="s">
        <v>2284</v>
      </c>
      <c r="F91" s="3073"/>
      <c r="G91" s="307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72" t="s">
        <v>2288</v>
      </c>
      <c r="F92" s="3073"/>
      <c r="G92" s="3073"/>
      <c r="H92" s="308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2352</v>
      </c>
      <c r="D93" s="226">
        <f>'数据-取费表'!B43</f>
        <v>6.000000000000001E-3</v>
      </c>
      <c r="E93" s="3072" t="s">
        <v>2271</v>
      </c>
      <c r="F93" s="3073"/>
      <c r="G93" s="3073"/>
      <c r="H93" s="308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83" t="s">
        <v>2292</v>
      </c>
      <c r="F94" s="3084"/>
      <c r="G94" s="3084"/>
      <c r="H94" s="308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389728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165.70068027210885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233014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057" t="s">
        <v>2294</v>
      </c>
      <c r="B100" s="3058"/>
      <c r="C100" s="3058"/>
      <c r="D100" s="3074"/>
      <c r="E100" s="3058" t="s">
        <v>2295</v>
      </c>
      <c r="F100" s="3058"/>
      <c r="G100" s="3058"/>
      <c r="H100" s="3074"/>
      <c r="I100" s="138"/>
    </row>
    <row r="101" spans="1:35" ht="18.75" customHeight="1">
      <c r="A101" s="3136" t="s">
        <v>2296</v>
      </c>
      <c r="B101" s="3137"/>
      <c r="C101" s="736" t="str">
        <f>C4</f>
        <v>典型户型修正</v>
      </c>
      <c r="D101" s="737">
        <f>D4</f>
        <v>0</v>
      </c>
      <c r="E101" s="3150" t="s">
        <v>2297</v>
      </c>
      <c r="F101" s="3104"/>
      <c r="G101" s="2520" t="s">
        <v>2298</v>
      </c>
      <c r="H101" s="1048">
        <f ca="1">H118</f>
        <v>411684</v>
      </c>
      <c r="I101" s="138"/>
    </row>
    <row r="102" spans="1:35" ht="18.75" customHeight="1">
      <c r="A102" s="3106" t="s">
        <v>2299</v>
      </c>
      <c r="B102" s="2520" t="s">
        <v>2298</v>
      </c>
      <c r="C102" s="736">
        <f ca="1">C19</f>
        <v>458870</v>
      </c>
      <c r="D102" s="737">
        <f>D19</f>
        <v>324053</v>
      </c>
      <c r="E102" s="3150"/>
      <c r="F102" s="3104"/>
      <c r="G102" s="2520" t="s">
        <v>2300</v>
      </c>
      <c r="H102" s="371">
        <f ca="1">I118</f>
        <v>68623</v>
      </c>
      <c r="I102" s="138"/>
    </row>
    <row r="103" spans="1:35" ht="42.75" customHeight="1">
      <c r="A103" s="3106"/>
      <c r="B103" s="2520" t="s">
        <v>2300</v>
      </c>
      <c r="C103" s="738">
        <f ca="1">C20</f>
        <v>76488</v>
      </c>
      <c r="D103" s="739" t="e">
        <f ca="1">D20</f>
        <v>#REF!</v>
      </c>
      <c r="E103" s="3145" t="s">
        <v>2301</v>
      </c>
      <c r="F103" s="3146"/>
      <c r="G103" s="2521" t="s">
        <v>2302</v>
      </c>
      <c r="H103" s="1048">
        <f>IF(D36="正常操作",H104+H105+H106,H105+H106)</f>
        <v>140000</v>
      </c>
      <c r="I103" s="138"/>
    </row>
    <row r="104" spans="1:35" ht="18.75" customHeight="1">
      <c r="A104" s="3106" t="s">
        <v>2303</v>
      </c>
      <c r="B104" s="2522" t="s">
        <v>2298</v>
      </c>
      <c r="C104" s="740">
        <f ca="1">H118</f>
        <v>411684</v>
      </c>
      <c r="D104" s="741"/>
      <c r="E104" s="2266" t="s">
        <v>2304</v>
      </c>
      <c r="F104" s="2258"/>
      <c r="G104" s="2521" t="s">
        <v>2302</v>
      </c>
      <c r="H104" s="1049">
        <f>IF(D36="同一抵押权人同一抵押物续贷",C36&amp;"（未扣减，详见特别提示）",C36)</f>
        <v>140000</v>
      </c>
      <c r="I104" s="138"/>
    </row>
    <row r="105" spans="1:35" ht="18.75" customHeight="1" thickBot="1">
      <c r="A105" s="3107"/>
      <c r="B105" s="2523" t="s">
        <v>2300</v>
      </c>
      <c r="C105" s="742">
        <f ca="1">I118</f>
        <v>68623</v>
      </c>
      <c r="D105" s="743"/>
      <c r="E105" s="2266" t="s">
        <v>2305</v>
      </c>
      <c r="F105" s="2258"/>
      <c r="G105" s="2521" t="s">
        <v>2302</v>
      </c>
      <c r="H105" s="1049">
        <f>C37</f>
        <v>0</v>
      </c>
      <c r="I105" s="138"/>
    </row>
    <row r="106" spans="1:35" ht="18.75" customHeight="1">
      <c r="A106" s="2418" t="s">
        <v>2306</v>
      </c>
      <c r="B106" s="2418"/>
      <c r="C106" s="2418"/>
      <c r="D106" s="2418"/>
      <c r="E106" s="2524" t="s">
        <v>2307</v>
      </c>
      <c r="F106" s="2258"/>
      <c r="G106" s="2521" t="s">
        <v>2302</v>
      </c>
      <c r="H106" s="1049">
        <f>C38</f>
        <v>0</v>
      </c>
      <c r="I106" s="138"/>
    </row>
    <row r="107" spans="1:35" ht="18.75" customHeight="1">
      <c r="A107" s="138"/>
      <c r="B107" s="138"/>
      <c r="C107" s="138"/>
      <c r="D107" s="138"/>
      <c r="E107" s="3103" t="str">
        <f>IF(项目基本情况!E8="已注销","——","3.房地产抵押价值")</f>
        <v>3.房地产抵押价值</v>
      </c>
      <c r="F107" s="3104"/>
      <c r="G107" s="2520" t="s">
        <v>2298</v>
      </c>
      <c r="H107" s="1048">
        <f ca="1">IF(E107="——","——",H101-H103)</f>
        <v>271684</v>
      </c>
      <c r="I107" s="138"/>
    </row>
    <row r="108" spans="1:35" ht="18.75" customHeight="1">
      <c r="A108" s="138"/>
      <c r="B108" s="138"/>
      <c r="C108" s="138"/>
      <c r="D108" s="138"/>
      <c r="E108" s="3103"/>
      <c r="F108" s="3104"/>
      <c r="G108" s="2520" t="s">
        <v>2300</v>
      </c>
      <c r="H108" s="371">
        <f ca="1">ROUND(H107*10000/'数据-汇总表'!E3,0)</f>
        <v>27847</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20" t="s">
        <v>2298</v>
      </c>
      <c r="H109" s="348" t="str">
        <f>IF(E109="——","——",H101-H105-H106)</f>
        <v>——</v>
      </c>
      <c r="I109" s="138"/>
    </row>
    <row r="110" spans="1:35" ht="18.75" customHeight="1">
      <c r="A110" s="138"/>
      <c r="B110" s="138"/>
      <c r="C110" s="138"/>
      <c r="D110" s="138"/>
      <c r="E110" s="3103"/>
      <c r="F110" s="3104"/>
      <c r="G110" s="2520" t="s">
        <v>2300</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0" t="s">
        <v>2298</v>
      </c>
      <c r="H111" s="1048" t="str">
        <f>IF(E111="——","——",N59)</f>
        <v>——</v>
      </c>
      <c r="I111" s="138"/>
    </row>
    <row r="112" spans="1:35" ht="18.75" customHeight="1" thickBot="1">
      <c r="A112" s="138"/>
      <c r="B112" s="138"/>
      <c r="C112" s="138"/>
      <c r="D112" s="138"/>
      <c r="E112" s="3140"/>
      <c r="F112" s="3141"/>
      <c r="G112" s="2525" t="s">
        <v>2300</v>
      </c>
      <c r="H112" s="790" t="str">
        <f>IF(E111="——","——",N61)</f>
        <v>——</v>
      </c>
      <c r="I112" s="138"/>
    </row>
    <row r="113" spans="1:11" ht="18.75" customHeight="1">
      <c r="A113" s="138"/>
      <c r="B113" s="138"/>
      <c r="C113" s="138"/>
      <c r="D113" s="138"/>
      <c r="E113" s="3108" t="s">
        <v>2306</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2308</v>
      </c>
      <c r="B115" s="3122"/>
      <c r="C115" s="3122"/>
      <c r="D115" s="3122"/>
      <c r="E115" s="3122"/>
      <c r="F115" s="3122"/>
      <c r="G115" s="3122"/>
      <c r="H115" s="3122"/>
      <c r="I115" s="3123"/>
    </row>
    <row r="116" spans="1:11" ht="27" customHeight="1">
      <c r="A116" s="3014" t="s">
        <v>2309</v>
      </c>
      <c r="B116" s="3109" t="s">
        <v>2310</v>
      </c>
      <c r="C116" s="3109" t="s">
        <v>2311</v>
      </c>
      <c r="D116" s="3125" t="s">
        <v>2312</v>
      </c>
      <c r="E116" s="3126"/>
      <c r="F116" s="3117" t="s">
        <v>2313</v>
      </c>
      <c r="G116" s="3117"/>
      <c r="H116" s="3014" t="s">
        <v>2314</v>
      </c>
      <c r="I116" s="3014"/>
    </row>
    <row r="117" spans="1:11" ht="18.75" customHeight="1">
      <c r="A117" s="3014"/>
      <c r="B117" s="3110"/>
      <c r="C117" s="3110"/>
      <c r="D117" s="1798" t="s">
        <v>2315</v>
      </c>
      <c r="E117" s="1798" t="s">
        <v>2316</v>
      </c>
      <c r="F117" s="1798" t="s">
        <v>2315</v>
      </c>
      <c r="G117" s="1798" t="s">
        <v>2317</v>
      </c>
      <c r="H117" s="1798" t="s">
        <v>2315</v>
      </c>
      <c r="I117" s="1798" t="s">
        <v>2317</v>
      </c>
    </row>
    <row r="118" spans="1:11" ht="24.75" customHeight="1">
      <c r="A118" s="2526" t="str">
        <f>项目基本情况!S2</f>
        <v>北京市朝阳区东三环中路65号楼房地产</v>
      </c>
      <c r="B118" s="1798">
        <f>M18</f>
        <v>59992.51999999999</v>
      </c>
      <c r="C118" s="1798">
        <f>M19</f>
        <v>7810.95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411684</v>
      </c>
      <c r="I118" s="1798">
        <f ca="1">ROUND(IF(D32="楼面单价",C32,H118*10000/B118),0)</f>
        <v>68623</v>
      </c>
    </row>
    <row r="119" spans="1:11" ht="18.75" customHeight="1">
      <c r="A119" s="3014" t="s">
        <v>2318</v>
      </c>
      <c r="B119" s="3014"/>
      <c r="C119" s="3014"/>
      <c r="D119" s="3114" t="e">
        <f ca="1">NUMBERSTRING(INT(D118*10000),2)&amp;"元整"</f>
        <v>#REF!</v>
      </c>
      <c r="E119" s="3116"/>
      <c r="F119" s="3114" t="e">
        <f ca="1">NUMBERSTRING(INT(F118*10000),2)&amp;"元整"</f>
        <v>#REF!</v>
      </c>
      <c r="G119" s="3116"/>
      <c r="H119" s="3114" t="str">
        <f ca="1">NUMBERSTRING(INT(H118*10000),2)&amp;"元整"</f>
        <v>肆拾壹亿壹仟陆佰捌拾肆万元整</v>
      </c>
      <c r="I119" s="3116"/>
    </row>
    <row r="120" spans="1:11" ht="18.75" customHeight="1">
      <c r="A120" s="3142" t="str">
        <f>IF(项目基本情况!B9="房地产市场价值","",MID(E103,3,LEN(E103)-2))</f>
        <v>估价师知悉的法定优先受偿款</v>
      </c>
      <c r="B120" s="3143"/>
      <c r="C120" s="3144"/>
      <c r="D120" s="3142">
        <f>H103</f>
        <v>140000</v>
      </c>
      <c r="E120" s="3143"/>
      <c r="F120" s="3143"/>
      <c r="G120" s="3143"/>
      <c r="H120" s="3143"/>
      <c r="I120" s="3144"/>
      <c r="K120" s="2423" t="str">
        <f>IF(D120=0,"故，本次评估不存在"&amp;A120,"故，本次评估"&amp;A120&amp;"为人民币"&amp;D120&amp;"万元整。")</f>
        <v>故，本次评估估价师知悉的法定优先受偿款为人民币140000万元整。</v>
      </c>
    </row>
    <row r="121" spans="1:11" ht="18.75" customHeight="1">
      <c r="A121" s="3118" t="s">
        <v>2318</v>
      </c>
      <c r="B121" s="3119"/>
      <c r="C121" s="3120"/>
      <c r="D121" s="3114" t="str">
        <f>IF(D120=0,"零元整",NUMBERSTRING(INT(D120*10000),2)&amp;"元整")</f>
        <v>壹拾肆亿元整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271684</v>
      </c>
      <c r="E122" s="3143"/>
      <c r="F122" s="3143"/>
      <c r="G122" s="3143"/>
      <c r="H122" s="3143"/>
      <c r="I122" s="3144"/>
    </row>
    <row r="123" spans="1:11" ht="18.75" customHeight="1">
      <c r="A123" s="3014" t="s">
        <v>2318</v>
      </c>
      <c r="B123" s="3014"/>
      <c r="C123" s="3014"/>
      <c r="D123" s="3114" t="str">
        <f ca="1">NUMBERSTRING(INT(D122*10000),2)&amp;"元整"</f>
        <v>贰拾柒亿壹仟陆佰捌拾肆万元整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2318</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2318</v>
      </c>
      <c r="B127" s="3014"/>
      <c r="C127" s="3014"/>
      <c r="D127" s="3114" t="e">
        <f>NUMBERSTRING(INT(D126*10000),2)&amp;"元整"</f>
        <v>#VALUE!</v>
      </c>
      <c r="E127" s="3115"/>
      <c r="F127" s="3115"/>
      <c r="G127" s="3115"/>
      <c r="H127" s="3115"/>
      <c r="I127" s="3116"/>
    </row>
    <row r="128" spans="1:11" ht="21.75" customHeight="1">
      <c r="A128" s="3124" t="s">
        <v>2319</v>
      </c>
      <c r="B128" s="3124"/>
      <c r="C128" s="3124"/>
      <c r="D128" s="3124"/>
      <c r="E128" s="3124"/>
      <c r="F128" s="3124"/>
      <c r="G128" s="3124"/>
      <c r="H128" s="3124"/>
      <c r="I128" s="3124"/>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algorithmName="SHA-512" hashValue="NifFaXXbftDnoy0E6enY1dYbRoSx/j3lnEdMsbMVLcm1T/Ds1FhIb1G5Z2QyY5FRzVVqaqjU6Qx+UkydGHV5Mg==" saltValue="Jdc0dqN1jz8cRZ0fpTJggw=="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3109</v>
      </c>
      <c r="C1" s="242"/>
      <c r="D1" s="242"/>
      <c r="E1" s="242"/>
      <c r="F1" s="242"/>
      <c r="G1" s="1382">
        <f>MATCH(B1,'数据-取费表'!A6:A16,0)+5</f>
        <v>7</v>
      </c>
    </row>
    <row r="2" spans="1:9" s="244" customFormat="1" ht="18" customHeight="1">
      <c r="A2" s="245" t="s">
        <v>2328</v>
      </c>
      <c r="B2" s="246">
        <f ca="1">IF(D2="——",C52,C52-E2)</f>
        <v>25723</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18814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11445</v>
      </c>
      <c r="D5" s="255" t="s">
        <v>2335</v>
      </c>
      <c r="E5" s="256" t="s">
        <v>2336</v>
      </c>
      <c r="F5" s="256" t="s">
        <v>2337</v>
      </c>
      <c r="G5" s="257"/>
    </row>
    <row r="6" spans="1:9" s="258" customFormat="1" ht="13.5" customHeight="1">
      <c r="A6" s="952" t="s">
        <v>2338</v>
      </c>
      <c r="B6" s="259" t="s">
        <v>2339</v>
      </c>
      <c r="C6" s="260">
        <f ca="1">基准地价修正!E38</f>
        <v>10841</v>
      </c>
      <c r="D6" s="261"/>
      <c r="E6" s="262"/>
      <c r="F6" s="262"/>
      <c r="G6" s="263"/>
    </row>
    <row r="7" spans="1:9" s="258" customFormat="1" ht="13.5" customHeight="1">
      <c r="A7" s="952" t="s">
        <v>2340</v>
      </c>
      <c r="B7" s="259" t="s">
        <v>2341</v>
      </c>
      <c r="C7" s="264">
        <f ca="1">ROUND(C6*F7,0)</f>
        <v>331</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273</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273</v>
      </c>
      <c r="D10" s="1035">
        <f ca="1">IF(B1="",'数据-汇总表'!E6,IF(INDIRECT("'数据-取费表'!c"&amp;$G$1)="住宅",INDIRECT("'数据-取费表'!s"&amp;$G$1),INDIRECT("'数据-取费表'!k"&amp;$G$1)+INDIRECT("'数据-取费表'!s"&amp;$G$1)))</f>
        <v>13672.09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13672.09</v>
      </c>
      <c r="E19" s="255">
        <f>'数据-取费表'!B31</f>
        <v>200</v>
      </c>
      <c r="F19" s="275"/>
      <c r="G19" s="2552" t="s">
        <v>3122</v>
      </c>
    </row>
    <row r="20" spans="1:7" s="258" customFormat="1" ht="13.5" customHeight="1">
      <c r="A20" s="299" t="s">
        <v>2359</v>
      </c>
      <c r="B20" s="254" t="s">
        <v>2360</v>
      </c>
      <c r="C20" s="276">
        <f ca="1">ROUND((C5+C19)*F20,0)</f>
        <v>229</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1727</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1710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17</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3502</v>
      </c>
      <c r="D27" s="279">
        <f ca="1">C29</f>
        <v>6.0000000000000001E-3</v>
      </c>
      <c r="E27" s="280" t="s">
        <v>2380</v>
      </c>
      <c r="F27" s="290">
        <f ca="1">IF(B1="",'数据-取费表'!Q16,INDIRECT("'数据-取费表'!q"&amp;$G$1))</f>
        <v>0.3</v>
      </c>
      <c r="G27" s="291" t="s">
        <v>2381</v>
      </c>
    </row>
    <row r="28" spans="1:7" s="258" customFormat="1" ht="13.5" customHeight="1">
      <c r="A28" s="954" t="s">
        <v>791</v>
      </c>
      <c r="B28" s="292" t="s">
        <v>2382</v>
      </c>
      <c r="C28" s="293">
        <f ca="1">ROUND((C5+C19+C20)*F27*'数据-取费表'!B21/'数据-取费表'!B20,0)</f>
        <v>3502</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18387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5806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5195</v>
      </c>
      <c r="D34" s="261"/>
      <c r="E34" s="264"/>
      <c r="F34" s="301">
        <f ca="1">IF('数据-取费表'!B24=0,1,IF(B1="",'数据-取费表'!N16,INDIRECT("'数据-取费表'!n"&amp;$G$1)))</f>
        <v>1</v>
      </c>
      <c r="G34" s="263" t="s">
        <v>2392</v>
      </c>
    </row>
    <row r="35" spans="1:7" ht="13.5" customHeight="1">
      <c r="A35" s="954" t="s">
        <v>796</v>
      </c>
      <c r="B35" s="259" t="s">
        <v>2393</v>
      </c>
      <c r="C35" s="264">
        <f ca="1">ROUND(C34*F35,0)</f>
        <v>260</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273</v>
      </c>
      <c r="D37" s="261">
        <f ca="1">D19</f>
        <v>13672.09</v>
      </c>
      <c r="E37" s="293">
        <f>'数据-取费表'!B35</f>
        <v>200</v>
      </c>
      <c r="F37" s="303"/>
      <c r="G37" s="305" t="s">
        <v>2398</v>
      </c>
    </row>
    <row r="38" spans="1:7" ht="13.5" customHeight="1">
      <c r="A38" s="954" t="s">
        <v>799</v>
      </c>
      <c r="B38" s="259" t="s">
        <v>2399</v>
      </c>
      <c r="C38" s="264">
        <f ca="1">ROUND(C34*F38,0)</f>
        <v>78</v>
      </c>
      <c r="D38" s="264"/>
      <c r="E38" s="264"/>
      <c r="F38" s="303">
        <f>'数据-取费表'!B36</f>
        <v>1.4999999999999999E-2</v>
      </c>
      <c r="G38" s="263" t="s">
        <v>2394</v>
      </c>
    </row>
    <row r="39" spans="1:7" s="258" customFormat="1" ht="13.5" customHeight="1">
      <c r="A39" s="299" t="s">
        <v>2400</v>
      </c>
      <c r="B39" s="254" t="s">
        <v>2401</v>
      </c>
      <c r="C39" s="276">
        <f ca="1">ROUND(C33*F20,0)</f>
        <v>116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427</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419</v>
      </c>
      <c r="D42" s="282"/>
      <c r="E42" s="282"/>
      <c r="F42" s="283"/>
      <c r="G42" s="3156" t="s">
        <v>2410</v>
      </c>
    </row>
    <row r="43" spans="1:7" ht="13.5" customHeight="1">
      <c r="A43" s="954" t="s">
        <v>792</v>
      </c>
      <c r="B43" s="259" t="s">
        <v>2411</v>
      </c>
      <c r="C43" s="282">
        <f ca="1">ROUND(IF('数据-取费表'!B22&lt;=1,C39*F22*'数据-取费表'!B21/2,C39*(POWER((1+F22),'数据-取费表'!B21/2)-1)),0)</f>
        <v>8</v>
      </c>
      <c r="D43" s="282"/>
      <c r="E43" s="282"/>
      <c r="F43" s="283"/>
      <c r="G43" s="3157"/>
    </row>
    <row r="44" spans="1:7" ht="13.5" customHeight="1">
      <c r="A44" s="954" t="s">
        <v>793</v>
      </c>
      <c r="B44" s="259" t="s">
        <v>2412</v>
      </c>
      <c r="C44" s="282">
        <f ca="1">ROUND(IF('数据-取费表'!B22&lt;=1,C40*F22*'数据-取费表'!B21/2,C40*(POWER((1+F22),'数据-取费表'!B21/2)-1)),4)</f>
        <v>1.4E-3</v>
      </c>
      <c r="D44" s="282"/>
      <c r="E44" s="282"/>
      <c r="F44" s="283"/>
      <c r="G44" s="3158"/>
    </row>
    <row r="45" spans="1:7" s="258" customFormat="1" ht="13.5" customHeight="1">
      <c r="A45" s="299" t="s">
        <v>2413</v>
      </c>
      <c r="B45" s="288" t="s">
        <v>2379</v>
      </c>
      <c r="C45" s="289">
        <f ca="1">C46</f>
        <v>1777</v>
      </c>
      <c r="D45" s="279">
        <f ca="1">C47</f>
        <v>6.0000000000000001E-3</v>
      </c>
      <c r="E45" s="280" t="s">
        <v>2405</v>
      </c>
      <c r="F45" s="290"/>
      <c r="G45" s="291" t="s">
        <v>2414</v>
      </c>
    </row>
    <row r="46" spans="1:7" s="258" customFormat="1" ht="13.5" customHeight="1">
      <c r="A46" s="954" t="s">
        <v>791</v>
      </c>
      <c r="B46" s="292" t="s">
        <v>2415</v>
      </c>
      <c r="C46" s="293">
        <f ca="1">ROUND((C33+C39)*F27,0)</f>
        <v>1777</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8839</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7336</v>
      </c>
      <c r="D51" s="276"/>
      <c r="E51" s="276"/>
      <c r="F51" s="308"/>
      <c r="G51" s="278" t="s">
        <v>2426</v>
      </c>
    </row>
    <row r="52" spans="1:7" s="252" customFormat="1" ht="16.5" thickBot="1">
      <c r="A52" s="309" t="s">
        <v>2427</v>
      </c>
      <c r="B52" s="310"/>
      <c r="C52" s="311">
        <f ca="1">C31+C51</f>
        <v>25723</v>
      </c>
      <c r="D52" s="310"/>
      <c r="E52" s="310"/>
      <c r="F52" s="310"/>
      <c r="G52" s="312"/>
    </row>
    <row r="55" spans="1:7" ht="15">
      <c r="B55" s="314" t="s">
        <v>2428</v>
      </c>
      <c r="C55" s="315"/>
    </row>
    <row r="56" spans="1:7">
      <c r="B56" s="317" t="s">
        <v>1514</v>
      </c>
      <c r="C56" s="319">
        <f ca="1">1-C57</f>
        <v>0.71500000000000008</v>
      </c>
    </row>
    <row r="57" spans="1:7">
      <c r="B57" s="317" t="s">
        <v>1515</v>
      </c>
      <c r="C57" s="318">
        <f ca="1">ROUND(C51/C52,3)</f>
        <v>0.28499999999999998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北京市朝阳区东三环中路65号楼房地产抵押价值预评估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北京富力城房地产开发有限公司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5"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59239</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6072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19512554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19512554</v>
      </c>
      <c r="D8" s="266"/>
      <c r="E8" s="264"/>
      <c r="F8" s="265"/>
      <c r="G8" s="2552"/>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19512554</v>
      </c>
      <c r="D10" s="1035">
        <f ca="1">IF(B1="",'数据-汇总表'!E6,IF(INDIRECT("'数据-取费表'!c"&amp;$G$1)="住宅",INDIRECT("'数据-取费表'!s"&amp;$G$1),INDIRECT("'数据-取费表'!k"&amp;$G$1)+INDIRECT("'数据-取费表'!s"&amp;$G$1)))</f>
        <v>97562.77</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19512554</v>
      </c>
      <c r="D19" s="1039">
        <f ca="1">D9+D10</f>
        <v>97562.77</v>
      </c>
      <c r="E19" s="255">
        <f>'数据-取费表'!B31</f>
        <v>200</v>
      </c>
      <c r="F19" s="275"/>
      <c r="G19" s="2552"/>
    </row>
    <row r="20" spans="1:7" s="258" customFormat="1" ht="13.5" customHeight="1">
      <c r="A20" s="299" t="s">
        <v>2440</v>
      </c>
      <c r="B20" s="254" t="s">
        <v>2441</v>
      </c>
      <c r="C20" s="276">
        <f ca="1">ROUND((C5+C19)*F20,0)</f>
        <v>780502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5885678</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2914706</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2914706</v>
      </c>
      <c r="D24" s="282"/>
      <c r="E24" s="282"/>
      <c r="F24" s="283"/>
      <c r="G24" s="284" t="s">
        <v>2452</v>
      </c>
    </row>
    <row r="25" spans="1:7" s="258" customFormat="1" ht="24">
      <c r="A25" s="954" t="s">
        <v>2342</v>
      </c>
      <c r="B25" s="259" t="s">
        <v>2453</v>
      </c>
      <c r="C25" s="1384">
        <f ca="1">ROUND(IF('数据-取费表'!B22&lt;=1,C20*F22*'数据-取费表'!B22/2,C20*(POWER((1+F22),'数据-取费表'!B22/2)-1)),0)</f>
        <v>56266</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10349459</v>
      </c>
      <c r="D27" s="279">
        <f ca="1">C29</f>
        <v>5.1999999999999998E-3</v>
      </c>
      <c r="E27" s="280" t="s">
        <v>2380</v>
      </c>
      <c r="F27" s="290">
        <f ca="1">IF(B1="",'数据-取费表'!Q16,INDIRECT("'数据-取费表'!q"&amp;$G$1))</f>
        <v>0.26</v>
      </c>
      <c r="G27" s="291" t="s">
        <v>2381</v>
      </c>
    </row>
    <row r="28" spans="1:7" s="258" customFormat="1" ht="13.5" customHeight="1">
      <c r="A28" s="954" t="s">
        <v>791</v>
      </c>
      <c r="B28" s="292" t="s">
        <v>2382</v>
      </c>
      <c r="C28" s="293">
        <f ca="1">ROUND((C5+C19+C20)*F27,0)</f>
        <v>10349459</v>
      </c>
      <c r="D28" s="279"/>
      <c r="E28" s="280"/>
      <c r="F28" s="290"/>
      <c r="G28" s="291"/>
    </row>
    <row r="29" spans="1:7" s="258" customFormat="1" ht="13.5" customHeight="1">
      <c r="A29" s="954" t="s">
        <v>792</v>
      </c>
      <c r="B29" s="292" t="s">
        <v>2383</v>
      </c>
      <c r="C29" s="282">
        <f ca="1">ROUND(C21*F27,4)</f>
        <v>5.1999999999999998E-3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60907235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433621968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388835130</v>
      </c>
      <c r="D34" s="261"/>
      <c r="E34" s="264"/>
      <c r="F34" s="301"/>
      <c r="G34" s="263"/>
    </row>
    <row r="35" spans="1:7" ht="13.5" customHeight="1">
      <c r="A35" s="954" t="s">
        <v>796</v>
      </c>
      <c r="B35" s="259" t="s">
        <v>2393</v>
      </c>
      <c r="C35" s="264">
        <f ca="1">ROUND(C34*F35,0)</f>
        <v>19441757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19512554</v>
      </c>
      <c r="D37" s="261">
        <f ca="1">D19</f>
        <v>97562.77</v>
      </c>
      <c r="E37" s="293">
        <f>'数据-取费表'!B35</f>
        <v>200</v>
      </c>
      <c r="F37" s="303"/>
      <c r="G37" s="305"/>
    </row>
    <row r="38" spans="1:7" ht="13.5" customHeight="1">
      <c r="A38" s="954" t="s">
        <v>799</v>
      </c>
      <c r="B38" s="259" t="s">
        <v>2399</v>
      </c>
      <c r="C38" s="264">
        <f ca="1">ROUND(C34*F38,0)</f>
        <v>5832527</v>
      </c>
      <c r="D38" s="264"/>
      <c r="E38" s="264"/>
      <c r="F38" s="303">
        <f>'数据-取费表'!B36</f>
        <v>1.4999999999999999E-2</v>
      </c>
      <c r="G38" s="263" t="s">
        <v>2394</v>
      </c>
    </row>
    <row r="39" spans="1:7" s="258" customFormat="1" ht="13.5" customHeight="1">
      <c r="A39" s="299" t="s">
        <v>2400</v>
      </c>
      <c r="B39" s="254" t="s">
        <v>2401</v>
      </c>
      <c r="C39" s="276">
        <f ca="1">ROUND(C33*F20,0)</f>
        <v>8672439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31884788</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31259596</v>
      </c>
      <c r="D42" s="282"/>
      <c r="E42" s="282"/>
      <c r="F42" s="283"/>
      <c r="G42" s="3156" t="s">
        <v>2457</v>
      </c>
    </row>
    <row r="43" spans="1:7" ht="13.5" customHeight="1">
      <c r="A43" s="954" t="s">
        <v>792</v>
      </c>
      <c r="B43" s="259" t="s">
        <v>2411</v>
      </c>
      <c r="C43" s="282">
        <f ca="1">ROUND(IF('数据-取费表'!B22&lt;=1,C39*F22*'数据-取费表'!B20/2,C39*(POWER((1+F22),'数据-取费表'!B20/2)-1)),0)</f>
        <v>625192</v>
      </c>
      <c r="D43" s="282"/>
      <c r="E43" s="282"/>
      <c r="F43" s="283"/>
      <c r="G43" s="3157"/>
    </row>
    <row r="44" spans="1:7" ht="13.5" customHeight="1">
      <c r="A44" s="954" t="s">
        <v>793</v>
      </c>
      <c r="B44" s="259" t="s">
        <v>2412</v>
      </c>
      <c r="C44" s="282">
        <f ca="1">ROUND(IF('数据-取费表'!B22&lt;=1,C40*F22*'数据-取费表'!B20/2,C40*(POWER((1+F22),'数据-取费表'!B20/2)-1)),4)</f>
        <v>1.4E-3</v>
      </c>
      <c r="D44" s="282"/>
      <c r="E44" s="282"/>
      <c r="F44" s="283"/>
      <c r="G44" s="3158"/>
    </row>
    <row r="45" spans="1:7" s="258" customFormat="1" ht="13.5" customHeight="1">
      <c r="A45" s="299" t="s">
        <v>2413</v>
      </c>
      <c r="B45" s="288" t="s">
        <v>2379</v>
      </c>
      <c r="C45" s="289">
        <f ca="1">C46</f>
        <v>114996546</v>
      </c>
      <c r="D45" s="279">
        <f ca="1">C47</f>
        <v>5.1999999999999998E-3</v>
      </c>
      <c r="E45" s="280" t="s">
        <v>2405</v>
      </c>
      <c r="F45" s="290"/>
      <c r="G45" s="291" t="s">
        <v>2414</v>
      </c>
    </row>
    <row r="46" spans="1:7" s="258" customFormat="1" ht="13.5" customHeight="1">
      <c r="A46" s="954" t="s">
        <v>791</v>
      </c>
      <c r="B46" s="292" t="s">
        <v>2415</v>
      </c>
      <c r="C46" s="293">
        <f ca="1">ROUND((C33+C39)*F27,0)</f>
        <v>114996546</v>
      </c>
      <c r="D46" s="307"/>
      <c r="E46" s="280"/>
      <c r="F46" s="290"/>
      <c r="G46" s="291"/>
    </row>
    <row r="47" spans="1:7" s="258" customFormat="1" ht="13.5" customHeight="1">
      <c r="A47" s="954" t="s">
        <v>792</v>
      </c>
      <c r="B47" s="292" t="s">
        <v>2416</v>
      </c>
      <c r="C47" s="282">
        <f ca="1">ROUND(C40*F27,4)</f>
        <v>5.1999999999999998E-3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640338812</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531481214</v>
      </c>
      <c r="D51" s="276"/>
      <c r="E51" s="276"/>
      <c r="F51" s="308"/>
      <c r="G51" s="278" t="s">
        <v>2426</v>
      </c>
    </row>
    <row r="52" spans="1:7" s="252" customFormat="1" ht="16.5" thickBot="1">
      <c r="A52" s="309" t="s">
        <v>2427</v>
      </c>
      <c r="B52" s="310"/>
      <c r="C52" s="311">
        <f ca="1">C31+C51</f>
        <v>592388449</v>
      </c>
      <c r="D52" s="310"/>
      <c r="E52" s="310"/>
      <c r="F52" s="310"/>
      <c r="G52" s="312"/>
    </row>
    <row r="55" spans="1:7" ht="15">
      <c r="B55" s="314" t="s">
        <v>2428</v>
      </c>
      <c r="C55" s="315"/>
    </row>
    <row r="56" spans="1:7">
      <c r="B56" s="317" t="s">
        <v>1514</v>
      </c>
      <c r="C56" s="319">
        <f ca="1">1-C57</f>
        <v>0.10299999999999998</v>
      </c>
    </row>
    <row r="57" spans="1:7">
      <c r="B57" s="317" t="s">
        <v>1515</v>
      </c>
      <c r="C57" s="318">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7" sqref="G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48</v>
      </c>
      <c r="C1" s="242"/>
      <c r="D1" s="242"/>
      <c r="E1" s="242"/>
      <c r="F1" s="242"/>
      <c r="G1" s="1382">
        <f>MATCH(B1,'数据-取费表'!A6:A16,0)+5</f>
        <v>8</v>
      </c>
    </row>
    <row r="2" spans="1:9" s="244" customFormat="1" ht="18" customHeight="1">
      <c r="A2" s="245" t="s">
        <v>1394</v>
      </c>
      <c r="B2" s="246">
        <f ca="1">IF(D2="——",C52,C52-E2)</f>
        <v>32571</v>
      </c>
      <c r="C2" s="243" t="s">
        <v>2329</v>
      </c>
      <c r="D2" s="2549" t="s">
        <v>70</v>
      </c>
      <c r="E2" s="1443" t="e">
        <f ca="1">SUMIF(INDIRECT("'"&amp;G2&amp;"'"&amp;"!A:A"),"承租人权益价值",INDIRECT("'"&amp;G2&amp;"'"&amp;"!c:c"))</f>
        <v>#REF!</v>
      </c>
      <c r="F2" s="2550" t="s">
        <v>2329</v>
      </c>
      <c r="G2" s="2551"/>
    </row>
    <row r="3" spans="1:9" s="244" customFormat="1" ht="18" customHeight="1" thickBot="1">
      <c r="A3" s="247" t="s">
        <v>1395</v>
      </c>
      <c r="B3" s="248">
        <f ca="1">ROUND(B2*10000/(IF(B1="",'数据-汇总表'!E3,INDIRECT("'数据-取费表'!k"&amp;$G$1))),0)</f>
        <v>13629</v>
      </c>
      <c r="C3" s="243" t="s">
        <v>2331</v>
      </c>
      <c r="D3" s="243"/>
      <c r="E3" s="243"/>
      <c r="F3" s="243"/>
      <c r="G3" s="243"/>
    </row>
    <row r="4" spans="1:9" s="252" customFormat="1" ht="15.75">
      <c r="A4" s="249" t="s">
        <v>2332</v>
      </c>
      <c r="B4" s="250"/>
      <c r="C4" s="250"/>
      <c r="D4" s="250"/>
      <c r="E4" s="250"/>
      <c r="F4" s="250"/>
      <c r="G4" s="251"/>
    </row>
    <row r="5" spans="1:9" s="258" customFormat="1" ht="13.5" customHeight="1">
      <c r="A5" s="299" t="s">
        <v>782</v>
      </c>
      <c r="B5" s="254" t="s">
        <v>2334</v>
      </c>
      <c r="C5" s="255">
        <f ca="1">C6+C7+C8</f>
        <v>16750</v>
      </c>
      <c r="D5" s="255" t="s">
        <v>2335</v>
      </c>
      <c r="E5" s="256" t="s">
        <v>2336</v>
      </c>
      <c r="F5" s="256" t="s">
        <v>2337</v>
      </c>
      <c r="G5" s="257"/>
    </row>
    <row r="6" spans="1:9" s="258" customFormat="1" ht="13.5" customHeight="1">
      <c r="A6" s="952" t="s">
        <v>791</v>
      </c>
      <c r="B6" s="259" t="s">
        <v>2339</v>
      </c>
      <c r="C6" s="260">
        <f ca="1">基准地价修正!E39</f>
        <v>15790</v>
      </c>
      <c r="D6" s="261"/>
      <c r="E6" s="262"/>
      <c r="F6" s="262"/>
      <c r="G6" s="263"/>
    </row>
    <row r="7" spans="1:9" s="258" customFormat="1" ht="13.5" customHeight="1">
      <c r="A7" s="952" t="s">
        <v>792</v>
      </c>
      <c r="B7" s="259" t="s">
        <v>2341</v>
      </c>
      <c r="C7" s="264">
        <f ca="1">ROUND(C6*F7,0)</f>
        <v>482</v>
      </c>
      <c r="D7" s="264"/>
      <c r="E7" s="262"/>
      <c r="F7" s="265">
        <f>'数据-取费表'!B48+'数据-取费表'!B49</f>
        <v>3.0499999999999999E-2</v>
      </c>
      <c r="G7" s="263"/>
    </row>
    <row r="8" spans="1:9" s="267" customFormat="1">
      <c r="A8" s="952" t="s">
        <v>793</v>
      </c>
      <c r="B8" s="259" t="s">
        <v>2343</v>
      </c>
      <c r="C8" s="264">
        <f ca="1">IF(G8="已包含在土地购买价格中","0",IF(B1="",'数据-取费表'!B29,IF(G9="全部缴纳",C9+C10,H9)))</f>
        <v>478</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478</v>
      </c>
      <c r="D10" s="1035">
        <f ca="1">IF(B1="",'数据-汇总表'!E6,IF(INDIRECT("'数据-取费表'!c"&amp;$G$1)="住宅",INDIRECT("'数据-取费表'!s"&amp;$G$1),INDIRECT("'数据-取费表'!k"&amp;$G$1)+INDIRECT("'数据-取费表'!s"&amp;$G$1)))</f>
        <v>23898.16</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2343</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23898.16</v>
      </c>
      <c r="E19" s="255">
        <f>'数据-取费表'!B31</f>
        <v>200</v>
      </c>
      <c r="F19" s="275"/>
      <c r="G19" s="2552" t="s">
        <v>3122</v>
      </c>
    </row>
    <row r="20" spans="1:7" s="258" customFormat="1" ht="13.5" customHeight="1">
      <c r="A20" s="299" t="s">
        <v>2359</v>
      </c>
      <c r="B20" s="254" t="s">
        <v>2360</v>
      </c>
      <c r="C20" s="276">
        <f ca="1">ROUND((C5+C19)*F20,0)</f>
        <v>335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2526</v>
      </c>
      <c r="D22" s="279">
        <f ca="1">C26</f>
        <v>1.4E-3</v>
      </c>
      <c r="E22" s="280" t="s">
        <v>2364</v>
      </c>
      <c r="F22" s="281">
        <f ca="1">'数据-取费表'!B40</f>
        <v>4.7500000000000001E-2</v>
      </c>
      <c r="G22" s="278" t="str">
        <f>IF('数据-取费表'!B22&lt;=1,"单利计息","复利计息")</f>
        <v>复利计息</v>
      </c>
    </row>
    <row r="23" spans="1:7" s="258" customFormat="1" ht="13.5" customHeight="1">
      <c r="A23" s="954" t="s">
        <v>791</v>
      </c>
      <c r="B23" s="259" t="s">
        <v>2369</v>
      </c>
      <c r="C23" s="1358">
        <f ca="1">ROUND(IF('数据-取费表'!B22&lt;=1,C5*F22*'数据-取费表'!B23,C5*(POWER((1+F22),'数据-取费表'!B23)-1)),0)</f>
        <v>2502</v>
      </c>
      <c r="D23" s="282"/>
      <c r="E23" s="282"/>
      <c r="F23" s="283"/>
      <c r="G23" s="284" t="s">
        <v>2370</v>
      </c>
    </row>
    <row r="24" spans="1:7" s="258" customFormat="1" ht="13.5" customHeight="1">
      <c r="A24" s="954" t="s">
        <v>792</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793</v>
      </c>
      <c r="B25" s="259" t="s">
        <v>2375</v>
      </c>
      <c r="C25" s="1358">
        <f ca="1">ROUND(IF('数据-取费表'!B22&lt;=1,C20*F22*'数据-取费表'!B23/2,C20*(POWER((1+F22),'数据-取费表'!B23/2)-1)),0)</f>
        <v>24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2563</v>
      </c>
      <c r="D27" s="279">
        <f ca="1">C29</f>
        <v>3.0000000000000001E-3</v>
      </c>
      <c r="E27" s="280" t="s">
        <v>2364</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2563</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2364</v>
      </c>
      <c r="E30" s="285"/>
      <c r="F30" s="281">
        <f>'数据-取费表'!B41</f>
        <v>5.6000000000000001E-2</v>
      </c>
      <c r="G30" s="278" t="s">
        <v>2386</v>
      </c>
    </row>
    <row r="31" spans="1:7" ht="16.5" customHeight="1">
      <c r="A31" s="253">
        <v>1</v>
      </c>
      <c r="B31" s="254" t="s">
        <v>2387</v>
      </c>
      <c r="C31" s="255">
        <f ca="1">ROUND((C5+C19+C20+C22+C27)/(1-C21-D22-D27-C30),0)</f>
        <v>24042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7604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6691</v>
      </c>
      <c r="D34" s="261"/>
      <c r="E34" s="264"/>
      <c r="F34" s="301">
        <f ca="1">IF('数据-取费表'!B24=0,1,IF(B1="",'数据-取费表'!N16,INDIRECT("'数据-取费表'!n"&amp;$G$1)))</f>
        <v>1</v>
      </c>
      <c r="G34" s="263" t="s">
        <v>2392</v>
      </c>
    </row>
    <row r="35" spans="1:7" ht="13.5" customHeight="1">
      <c r="A35" s="954" t="s">
        <v>796</v>
      </c>
      <c r="B35" s="259" t="s">
        <v>2393</v>
      </c>
      <c r="C35" s="264">
        <f ca="1">ROUND(C34*F35,0)</f>
        <v>335</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478</v>
      </c>
      <c r="D37" s="261">
        <f ca="1">D19</f>
        <v>23898.16</v>
      </c>
      <c r="E37" s="293">
        <f>'数据-取费表'!B35</f>
        <v>200</v>
      </c>
      <c r="F37" s="303"/>
      <c r="G37" s="305" t="s">
        <v>2398</v>
      </c>
    </row>
    <row r="38" spans="1:7" ht="13.5" customHeight="1">
      <c r="A38" s="954" t="s">
        <v>799</v>
      </c>
      <c r="B38" s="259" t="s">
        <v>2399</v>
      </c>
      <c r="C38" s="264">
        <f ca="1">ROUND(C34*F38,0)</f>
        <v>100</v>
      </c>
      <c r="D38" s="264"/>
      <c r="E38" s="264"/>
      <c r="F38" s="303">
        <f>'数据-取费表'!B36</f>
        <v>1.4999999999999999E-2</v>
      </c>
      <c r="G38" s="263" t="s">
        <v>2394</v>
      </c>
    </row>
    <row r="39" spans="1:7" s="258" customFormat="1" ht="13.5" customHeight="1">
      <c r="A39" s="299" t="s">
        <v>2357</v>
      </c>
      <c r="B39" s="254" t="s">
        <v>2360</v>
      </c>
      <c r="C39" s="276">
        <f ca="1">ROUND(C33*F20,0)</f>
        <v>152</v>
      </c>
      <c r="D39" s="276"/>
      <c r="E39" s="276"/>
      <c r="F39" s="277"/>
      <c r="G39" s="278" t="s">
        <v>2402</v>
      </c>
    </row>
    <row r="40" spans="1:7" s="258" customFormat="1" ht="13.5" customHeight="1">
      <c r="A40" s="299" t="s">
        <v>2359</v>
      </c>
      <c r="B40" s="254" t="s">
        <v>2363</v>
      </c>
      <c r="C40" s="1731">
        <f>F21</f>
        <v>0.02</v>
      </c>
      <c r="D40" s="280" t="s">
        <v>2405</v>
      </c>
      <c r="E40" s="276"/>
      <c r="F40" s="277"/>
      <c r="G40" s="278" t="s">
        <v>2406</v>
      </c>
    </row>
    <row r="41" spans="1:7" s="258" customFormat="1" ht="13.5" customHeight="1">
      <c r="A41" s="299" t="s">
        <v>2362</v>
      </c>
      <c r="B41" s="254" t="s">
        <v>2367</v>
      </c>
      <c r="C41" s="276">
        <f ca="1">ROUND(SUM(C42:C43),0)</f>
        <v>559</v>
      </c>
      <c r="D41" s="279">
        <f ca="1">C44</f>
        <v>1.4E-3</v>
      </c>
      <c r="E41" s="280" t="s">
        <v>2405</v>
      </c>
      <c r="F41" s="281"/>
      <c r="G41" s="278" t="str">
        <f>IF('数据-取费表'!B22&lt;=1,"单利计息","复利计息")</f>
        <v>复利计息</v>
      </c>
    </row>
    <row r="42" spans="1:7" ht="13.5" customHeight="1">
      <c r="A42" s="954" t="s">
        <v>791</v>
      </c>
      <c r="B42" s="259" t="s">
        <v>2369</v>
      </c>
      <c r="C42" s="282">
        <f ca="1">ROUND(IF('数据-取费表'!B22&lt;=1,C33*F22*'数据-取费表'!B21/2,C33*(POWER((1+F22),'数据-取费表'!B21/2)-1)),0)</f>
        <v>548</v>
      </c>
      <c r="D42" s="282"/>
      <c r="E42" s="282"/>
      <c r="F42" s="283"/>
      <c r="G42" s="3156" t="s">
        <v>2410</v>
      </c>
    </row>
    <row r="43" spans="1:7" ht="13.5" customHeight="1">
      <c r="A43" s="954" t="s">
        <v>792</v>
      </c>
      <c r="B43" s="259" t="s">
        <v>2372</v>
      </c>
      <c r="C43" s="282">
        <f ca="1">ROUND(IF('数据-取费表'!B22&lt;=1,C39*F22*'数据-取费表'!B21/2,C39*(POWER((1+F22),'数据-取费表'!B21/2)-1)),0)</f>
        <v>11</v>
      </c>
      <c r="D43" s="282"/>
      <c r="E43" s="282"/>
      <c r="F43" s="283"/>
      <c r="G43" s="3157"/>
    </row>
    <row r="44" spans="1:7" ht="13.5" customHeight="1">
      <c r="A44" s="954" t="s">
        <v>793</v>
      </c>
      <c r="B44" s="259" t="s">
        <v>2375</v>
      </c>
      <c r="C44" s="282">
        <f ca="1">ROUND(IF('数据-取费表'!B22&lt;=1,C40*F22*'数据-取费表'!B21/2,C40*(POWER((1+F22),'数据-取费表'!B21/2)-1)),4)</f>
        <v>1.4E-3</v>
      </c>
      <c r="D44" s="282"/>
      <c r="E44" s="282"/>
      <c r="F44" s="283"/>
      <c r="G44" s="3158"/>
    </row>
    <row r="45" spans="1:7" s="258" customFormat="1" ht="13.5" customHeight="1">
      <c r="A45" s="299" t="s">
        <v>2366</v>
      </c>
      <c r="B45" s="288" t="s">
        <v>2379</v>
      </c>
      <c r="C45" s="289">
        <f ca="1">C46</f>
        <v>1163</v>
      </c>
      <c r="D45" s="279">
        <f ca="1">C47</f>
        <v>3.0000000000000001E-3</v>
      </c>
      <c r="E45" s="280" t="s">
        <v>2405</v>
      </c>
      <c r="F45" s="290"/>
      <c r="G45" s="291" t="s">
        <v>2414</v>
      </c>
    </row>
    <row r="46" spans="1:7" s="258" customFormat="1" ht="13.5" customHeight="1">
      <c r="A46" s="954" t="s">
        <v>791</v>
      </c>
      <c r="B46" s="292" t="s">
        <v>2415</v>
      </c>
      <c r="C46" s="293">
        <f ca="1">ROUND((C33+C39)*F27,0)</f>
        <v>1163</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10276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8529</v>
      </c>
      <c r="D51" s="276"/>
      <c r="E51" s="276"/>
      <c r="F51" s="308"/>
      <c r="G51" s="278" t="s">
        <v>2426</v>
      </c>
    </row>
    <row r="52" spans="1:7" s="252" customFormat="1" ht="16.5" thickBot="1">
      <c r="A52" s="309" t="s">
        <v>2427</v>
      </c>
      <c r="B52" s="310"/>
      <c r="C52" s="311">
        <f ca="1">C31+C51</f>
        <v>32571</v>
      </c>
      <c r="D52" s="310"/>
      <c r="E52" s="310"/>
      <c r="F52" s="310"/>
      <c r="G52" s="312"/>
    </row>
    <row r="55" spans="1:7" ht="15">
      <c r="B55" s="314" t="s">
        <v>2428</v>
      </c>
      <c r="C55" s="315"/>
    </row>
    <row r="56" spans="1:7">
      <c r="B56" s="317" t="s">
        <v>1514</v>
      </c>
      <c r="C56" s="319">
        <f ca="1">1-C57</f>
        <v>0.73799999999999999</v>
      </c>
    </row>
    <row r="57" spans="1:7">
      <c r="B57" s="317" t="s">
        <v>1515</v>
      </c>
      <c r="C57" s="318">
        <f ca="1">ROUND(C51/C52,3)</f>
        <v>0.26200000000000001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-2436</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6" t="s">
        <v>2466</v>
      </c>
      <c r="D5" s="2556" t="s">
        <v>2467</v>
      </c>
      <c r="E5" s="2556" t="s">
        <v>2468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23898.16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97562.77</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97562.77</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1951</v>
      </c>
      <c r="D18" s="1036"/>
      <c r="E18" s="24"/>
      <c r="F18" s="979"/>
      <c r="G18" s="2558"/>
      <c r="H18" s="1580"/>
      <c r="I18" s="2559"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1951</v>
      </c>
      <c r="D20" s="1036">
        <f ca="1">IF(C1="",'数据-汇总表'!E6,IF(INDIRECT("'数据-取费表'!c"&amp;$K$1)="住宅",INDIRECT("'数据-取费表'!s"&amp;$K$1),INDIRECT("'数据-取费表'!k"&amp;$K$1)+INDIRECT("'数据-取费表'!s"&amp;$K$1)))</f>
        <v>97562.77</v>
      </c>
      <c r="E20" s="24">
        <f>'数据-取费表'!B28</f>
        <v>200</v>
      </c>
      <c r="F20" s="979"/>
      <c r="G20" s="15"/>
      <c r="H20" s="984"/>
      <c r="I20" s="984"/>
      <c r="J20" s="984"/>
      <c r="K20" s="985"/>
    </row>
    <row r="21" spans="1:33" s="978" customFormat="1" ht="13.5" customHeight="1">
      <c r="A21" s="964" t="s">
        <v>802</v>
      </c>
      <c r="B21" s="988" t="s">
        <v>2497</v>
      </c>
      <c r="C21" s="989">
        <f ca="1">C16+C17+C18</f>
        <v>1951</v>
      </c>
      <c r="D21" s="990"/>
      <c r="E21" s="325"/>
      <c r="F21" s="325"/>
      <c r="G21" s="140" t="s">
        <v>2498</v>
      </c>
      <c r="H21" s="982"/>
      <c r="I21" s="982"/>
      <c r="J21" s="982"/>
      <c r="K21" s="983"/>
    </row>
    <row r="22" spans="1:33" s="978" customFormat="1" ht="13.5" customHeight="1">
      <c r="A22" s="964" t="s">
        <v>2470</v>
      </c>
      <c r="B22" s="988" t="s">
        <v>2499</v>
      </c>
      <c r="C22" s="989">
        <f ca="1">ROUND(C21*F22,0)</f>
        <v>39</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2510</v>
      </c>
      <c r="B28" s="2561" t="s">
        <v>2511</v>
      </c>
      <c r="C28" s="331">
        <f ca="1">C30</f>
        <v>517</v>
      </c>
      <c r="D28" s="324">
        <f ca="1">C29</f>
        <v>0</v>
      </c>
      <c r="E28" s="326" t="s">
        <v>15</v>
      </c>
      <c r="F28" s="332">
        <f ca="1">IF(C1="",'数据-取费表'!Q16,INDIRECT("'数据-取费表'!q"&amp;$K$1))</f>
        <v>0.26</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517</v>
      </c>
      <c r="D30" s="328"/>
      <c r="E30" s="329"/>
      <c r="F30" s="334"/>
      <c r="G30" s="140"/>
      <c r="H30" s="982"/>
      <c r="I30" s="982"/>
      <c r="J30" s="982"/>
      <c r="K30" s="983"/>
    </row>
    <row r="31" spans="1:33" s="978" customFormat="1" ht="13.5" customHeight="1" thickBot="1">
      <c r="A31" s="2562"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-2436</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61" t="s">
        <v>1403</v>
      </c>
      <c r="C6" s="1299">
        <f ca="1">ROUND(F6*F8*F7*(1-F9)/10000,0)</f>
        <v>0</v>
      </c>
      <c r="D6" s="164" t="s">
        <v>3033</v>
      </c>
      <c r="E6" s="347" t="s">
        <v>1405</v>
      </c>
      <c r="F6" s="348">
        <f ca="1">INDIRECT("'数据-取费表'!u"&amp;$G$1)</f>
        <v>0</v>
      </c>
      <c r="G6" s="1854"/>
      <c r="H6" s="1294" t="s">
        <v>1035</v>
      </c>
      <c r="I6" s="3161" t="s">
        <v>1403</v>
      </c>
      <c r="J6" s="346">
        <f ca="1">ROUND(M6*M8*M7*(1-M9)/10000,0)</f>
        <v>0</v>
      </c>
      <c r="K6" s="164" t="s">
        <v>3032</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3034</v>
      </c>
      <c r="E10" s="358" t="s">
        <v>1411</v>
      </c>
      <c r="F10" s="1369"/>
      <c r="G10" s="1854"/>
      <c r="H10" s="1294" t="s">
        <v>1039</v>
      </c>
      <c r="I10" s="1826" t="s">
        <v>1409</v>
      </c>
      <c r="J10" s="346">
        <f ca="1">ROUND(IF(M10="押一",M6*M8*M7/12*M11,IF(M10="押二",M6*M8*M7/12*2*M11,IF(M10="押三",M6*M8*M7/12*3*M11,J11*M11)))/10000,0)</f>
        <v>0</v>
      </c>
      <c r="K10" s="1827" t="s">
        <v>3035</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200</v>
      </c>
      <c r="G17" s="1857"/>
      <c r="H17" s="1204" t="s">
        <v>1035</v>
      </c>
      <c r="I17" s="347" t="s">
        <v>1430</v>
      </c>
      <c r="J17" s="24">
        <f ca="1">ROUND(IF(项目基本情况!B11="自然人",J5*M17,J18+J19+J20),1)</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ROUND(M20*M21/10000,2)</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ROUND(J13*M23,1)</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ROUND(F49*F51*F50*(1-F52)/10000,0)</f>
        <v>0</v>
      </c>
      <c r="D49" s="1279" t="s">
        <v>3036</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24.75" thickBot="1">
      <c r="A53" s="1408" t="s">
        <v>1137</v>
      </c>
      <c r="B53" s="1834" t="s">
        <v>1409</v>
      </c>
      <c r="C53" s="361">
        <f ca="1">ROUND(IF(F53="押一",F49*F51*F50/12*F11,IF(F53="押二",F49*F51*F50/12*2*F11,IF(F53="押三",F49*F51*F50/12*3*F11,C54*F11)))/10000,0)</f>
        <v>0</v>
      </c>
      <c r="D53" s="1827" t="s">
        <v>3034</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ROUND(C48*F66,1)</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1" t="s">
        <v>1403</v>
      </c>
      <c r="C6" s="1299">
        <f ca="1">ROUND(F6*F8*F7*(1-F9),0)</f>
        <v>0</v>
      </c>
      <c r="D6" s="164" t="s">
        <v>3028</v>
      </c>
      <c r="E6" s="347" t="s">
        <v>1405</v>
      </c>
      <c r="F6" s="348">
        <f ca="1">INDIRECT("'数据-取费表'!u"&amp;$G$1)</f>
        <v>0</v>
      </c>
      <c r="G6" s="1854"/>
      <c r="H6" s="1294" t="s">
        <v>1035</v>
      </c>
      <c r="I6" s="3161" t="s">
        <v>1403</v>
      </c>
      <c r="J6" s="346">
        <f ca="1">ROUND(M6*M8*M7*(1-M9),0)</f>
        <v>0</v>
      </c>
      <c r="K6" s="1837" t="s">
        <v>3031</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3029</v>
      </c>
      <c r="E10" s="358" t="s">
        <v>1411</v>
      </c>
      <c r="F10" s="1369"/>
      <c r="G10" s="1854"/>
      <c r="H10" s="1294" t="s">
        <v>1039</v>
      </c>
      <c r="I10" s="1826" t="s">
        <v>1409</v>
      </c>
      <c r="J10" s="346">
        <f ca="1">ROUND(IF(M10="押一",M6*M8*M7/12*M11,IF(M10="押二",M6*M8*M7/12*2*M11,IF(M10="押三",M6*M8*M7/12*3*M11,J11*M11))),0)</f>
        <v>0</v>
      </c>
      <c r="K10" s="1838" t="s">
        <v>3030</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2527</v>
      </c>
      <c r="B1" s="2564"/>
      <c r="C1" s="2564"/>
      <c r="D1" s="2564"/>
      <c r="E1" s="2565"/>
    </row>
    <row r="2" spans="1:6" ht="15.75">
      <c r="A2" s="2566" t="s">
        <v>2328</v>
      </c>
      <c r="B2" s="2567">
        <f ca="1">SUMIF(B6:B13,"&lt;&gt;#ref!",B6:B13)</f>
        <v>0</v>
      </c>
      <c r="C2" s="2568" t="s">
        <v>2520</v>
      </c>
      <c r="D2" s="2569" t="s">
        <v>2521</v>
      </c>
      <c r="E2" s="2570">
        <f>SUM(E6:E13)</f>
        <v>0</v>
      </c>
    </row>
    <row r="3" spans="1:6" ht="15.75">
      <c r="A3" s="2566" t="s">
        <v>1395</v>
      </c>
      <c r="B3" s="2567" t="e">
        <f ca="1">ROUND(B2*10000/E2,0)</f>
        <v>#DIV/0!</v>
      </c>
      <c r="C3" s="2568" t="s">
        <v>2528</v>
      </c>
      <c r="D3" s="2571"/>
      <c r="E3" s="2572"/>
    </row>
    <row r="4" spans="1:6" ht="15.75">
      <c r="A4" s="2573"/>
      <c r="B4" s="2571"/>
      <c r="C4" s="2571"/>
      <c r="D4" s="2571"/>
      <c r="E4" s="2572"/>
    </row>
    <row r="5" spans="1:6" ht="15">
      <c r="A5" s="2574" t="s">
        <v>2522</v>
      </c>
      <c r="B5" s="3164" t="s">
        <v>2523</v>
      </c>
      <c r="C5" s="3164"/>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71" t="s">
        <v>1077</v>
      </c>
      <c r="B2" s="3172" t="s">
        <v>1078</v>
      </c>
      <c r="C2" s="3172"/>
      <c r="D2" s="1304" t="s">
        <v>1079</v>
      </c>
      <c r="E2" s="1304" t="s">
        <v>1080</v>
      </c>
      <c r="F2" s="1304" t="s">
        <v>1081</v>
      </c>
      <c r="G2" s="1304" t="s">
        <v>1082</v>
      </c>
      <c r="H2" s="1304" t="s">
        <v>1083</v>
      </c>
      <c r="I2" s="1305" t="s">
        <v>1084</v>
      </c>
    </row>
    <row r="3" spans="1:9">
      <c r="A3" s="3171"/>
      <c r="B3" s="3172" t="s">
        <v>1085</v>
      </c>
      <c r="C3" s="3172"/>
      <c r="D3" s="1306"/>
      <c r="E3" s="1304"/>
      <c r="F3" s="1307"/>
      <c r="G3" s="1307"/>
      <c r="H3" s="1308"/>
      <c r="I3" s="1309">
        <f>ROUND(D3*E3*F3*G3*H3/10000,0)</f>
        <v>0</v>
      </c>
    </row>
    <row r="4" spans="1:9">
      <c r="A4" s="3171"/>
      <c r="B4" s="3172" t="s">
        <v>1086</v>
      </c>
      <c r="C4" s="3172"/>
      <c r="D4" s="1306"/>
      <c r="E4" s="1304"/>
      <c r="F4" s="1307"/>
      <c r="G4" s="1307"/>
      <c r="H4" s="1308"/>
      <c r="I4" s="1309">
        <f t="shared" ref="I4:I9" si="0">ROUND(D4*E4*F4*G4*H4/10000,0)</f>
        <v>0</v>
      </c>
    </row>
    <row r="5" spans="1:9">
      <c r="A5" s="3171"/>
      <c r="B5" s="3172" t="s">
        <v>1087</v>
      </c>
      <c r="C5" s="3172"/>
      <c r="D5" s="1306"/>
      <c r="E5" s="1304"/>
      <c r="F5" s="1307"/>
      <c r="G5" s="1307"/>
      <c r="H5" s="1308"/>
      <c r="I5" s="1309">
        <f t="shared" si="0"/>
        <v>0</v>
      </c>
    </row>
    <row r="6" spans="1:9">
      <c r="A6" s="3171"/>
      <c r="B6" s="3172" t="s">
        <v>1088</v>
      </c>
      <c r="C6" s="3172"/>
      <c r="D6" s="1306"/>
      <c r="E6" s="1304"/>
      <c r="F6" s="1307"/>
      <c r="G6" s="1307"/>
      <c r="H6" s="1308"/>
      <c r="I6" s="1309">
        <f t="shared" si="0"/>
        <v>0</v>
      </c>
    </row>
    <row r="7" spans="1:9">
      <c r="A7" s="3171"/>
      <c r="B7" s="3172" t="s">
        <v>1089</v>
      </c>
      <c r="C7" s="3172"/>
      <c r="D7" s="1306"/>
      <c r="E7" s="1304"/>
      <c r="F7" s="1307"/>
      <c r="G7" s="1307"/>
      <c r="H7" s="1308"/>
      <c r="I7" s="1309">
        <f t="shared" si="0"/>
        <v>0</v>
      </c>
    </row>
    <row r="8" spans="1:9">
      <c r="A8" s="3171"/>
      <c r="B8" s="3172" t="s">
        <v>1090</v>
      </c>
      <c r="C8" s="3172"/>
      <c r="D8" s="1306"/>
      <c r="E8" s="1304"/>
      <c r="F8" s="1307"/>
      <c r="G8" s="1307"/>
      <c r="H8" s="1308"/>
      <c r="I8" s="1309">
        <f t="shared" si="0"/>
        <v>0</v>
      </c>
    </row>
    <row r="9" spans="1:9">
      <c r="A9" s="3171"/>
      <c r="B9" s="3172" t="s">
        <v>1091</v>
      </c>
      <c r="C9" s="3172"/>
      <c r="D9" s="1306"/>
      <c r="E9" s="1304"/>
      <c r="F9" s="1307"/>
      <c r="G9" s="1307"/>
      <c r="H9" s="1308"/>
      <c r="I9" s="1309">
        <f t="shared" si="0"/>
        <v>0</v>
      </c>
    </row>
    <row r="10" spans="1:9">
      <c r="A10" s="3171"/>
      <c r="B10" s="3173" t="s">
        <v>1092</v>
      </c>
      <c r="C10" s="3173"/>
      <c r="D10" s="1310"/>
      <c r="E10" s="1310" t="e">
        <f>ROUND(D1*10000/D10/H9,0)</f>
        <v>#DIV/0!</v>
      </c>
      <c r="F10" s="1311"/>
      <c r="G10" s="1311"/>
      <c r="H10" s="1312"/>
      <c r="I10" s="1313">
        <f>SUM(I3:I9)</f>
        <v>0</v>
      </c>
    </row>
    <row r="11" spans="1:9" ht="14.25">
      <c r="A11" s="3171" t="s">
        <v>1093</v>
      </c>
      <c r="B11" s="3172" t="s">
        <v>1094</v>
      </c>
      <c r="C11" s="3172"/>
      <c r="D11" s="1306" t="s">
        <v>1095</v>
      </c>
      <c r="E11" s="1306" t="s">
        <v>1096</v>
      </c>
      <c r="F11" s="1307" t="s">
        <v>1097</v>
      </c>
      <c r="G11" s="1307" t="s">
        <v>1083</v>
      </c>
      <c r="H11" s="1314" t="s">
        <v>1098</v>
      </c>
      <c r="I11" s="1305" t="s">
        <v>1084</v>
      </c>
    </row>
    <row r="12" spans="1:9">
      <c r="A12" s="3171"/>
      <c r="B12" s="3172" t="s">
        <v>1099</v>
      </c>
      <c r="C12" s="3172"/>
      <c r="D12" s="1306"/>
      <c r="E12" s="1306"/>
      <c r="F12" s="1307"/>
      <c r="G12" s="1308"/>
      <c r="H12" s="1315"/>
      <c r="I12" s="1305">
        <f>ROUND(D12*E12*F12*G12/10000,0)</f>
        <v>0</v>
      </c>
    </row>
    <row r="13" spans="1:9">
      <c r="A13" s="3171"/>
      <c r="B13" s="3172" t="s">
        <v>1100</v>
      </c>
      <c r="C13" s="3172"/>
      <c r="D13" s="1306"/>
      <c r="E13" s="1306"/>
      <c r="F13" s="1307"/>
      <c r="G13" s="1308"/>
      <c r="H13" s="1315"/>
      <c r="I13" s="1305">
        <f>ROUND(D13*E13*F13*G13/10000,0)</f>
        <v>0</v>
      </c>
    </row>
    <row r="14" spans="1:9">
      <c r="A14" s="3171"/>
      <c r="B14" s="3172" t="s">
        <v>1101</v>
      </c>
      <c r="C14" s="3172"/>
      <c r="D14" s="1306"/>
      <c r="E14" s="1306"/>
      <c r="F14" s="1307"/>
      <c r="G14" s="1308"/>
      <c r="H14" s="1315"/>
      <c r="I14" s="1305">
        <f>ROUND(D14*E14*F14*G14/10000,0)</f>
        <v>0</v>
      </c>
    </row>
    <row r="15" spans="1:9">
      <c r="A15" s="3171"/>
      <c r="B15" s="3173" t="s">
        <v>1092</v>
      </c>
      <c r="C15" s="3173"/>
      <c r="D15" s="1310"/>
      <c r="E15" s="1310">
        <f>SUM(E12:E14)</f>
        <v>0</v>
      </c>
      <c r="F15" s="1311"/>
      <c r="G15" s="1308"/>
      <c r="H15" s="1315"/>
      <c r="I15" s="1316">
        <f>SUM(I12:I14)</f>
        <v>0</v>
      </c>
    </row>
    <row r="16" spans="1:9" ht="24">
      <c r="A16" s="3171" t="s">
        <v>1102</v>
      </c>
      <c r="B16" s="3172" t="s">
        <v>1103</v>
      </c>
      <c r="C16" s="3172"/>
      <c r="D16" s="1306" t="s">
        <v>1079</v>
      </c>
      <c r="E16" s="1317" t="s">
        <v>1104</v>
      </c>
      <c r="F16" s="1307" t="s">
        <v>1105</v>
      </c>
      <c r="G16" s="1308" t="s">
        <v>1083</v>
      </c>
      <c r="H16" s="1314" t="s">
        <v>1098</v>
      </c>
      <c r="I16" s="1305" t="s">
        <v>1084</v>
      </c>
    </row>
    <row r="17" spans="1:9" ht="14.25">
      <c r="A17" s="3171"/>
      <c r="B17" s="3172" t="s">
        <v>1106</v>
      </c>
      <c r="C17" s="3172"/>
      <c r="D17" s="1306"/>
      <c r="E17" s="1306"/>
      <c r="F17" s="1307"/>
      <c r="G17" s="1308"/>
      <c r="H17" s="1318"/>
      <c r="I17" s="1319">
        <f>ROUND(D17*E17*F17*G17/10000,0)</f>
        <v>0</v>
      </c>
    </row>
    <row r="18" spans="1:9" ht="14.25">
      <c r="A18" s="3171"/>
      <c r="B18" s="3172" t="s">
        <v>1107</v>
      </c>
      <c r="C18" s="3172"/>
      <c r="D18" s="1306"/>
      <c r="E18" s="1306"/>
      <c r="F18" s="1307"/>
      <c r="G18" s="1308"/>
      <c r="H18" s="1318"/>
      <c r="I18" s="1319">
        <f>ROUND(D18*E18*F18*G18/10000,0)</f>
        <v>0</v>
      </c>
    </row>
    <row r="19" spans="1:9" ht="14.25">
      <c r="A19" s="3171"/>
      <c r="B19" s="3172" t="s">
        <v>1108</v>
      </c>
      <c r="C19" s="3172"/>
      <c r="D19" s="1306"/>
      <c r="E19" s="1306"/>
      <c r="F19" s="1307"/>
      <c r="G19" s="1308"/>
      <c r="H19" s="1318"/>
      <c r="I19" s="1319">
        <f>ROUND(D19*E19*F19*G19/10000,0)</f>
        <v>0</v>
      </c>
    </row>
    <row r="20" spans="1:9">
      <c r="A20" s="3171"/>
      <c r="B20" s="3173" t="s">
        <v>1092</v>
      </c>
      <c r="C20" s="3173"/>
      <c r="D20" s="1310">
        <f>SUM(D17:D19)</f>
        <v>0</v>
      </c>
      <c r="E20" s="1310"/>
      <c r="F20" s="1311"/>
      <c r="G20" s="1308"/>
      <c r="H20" s="1315"/>
      <c r="I20" s="1316">
        <f>SUM(I17:I19)</f>
        <v>0</v>
      </c>
    </row>
    <row r="21" spans="1:9">
      <c r="A21" s="3171" t="s">
        <v>1109</v>
      </c>
      <c r="B21" s="3174"/>
      <c r="C21" s="3174"/>
      <c r="D21" s="3174"/>
      <c r="E21" s="3174"/>
      <c r="F21" s="3174"/>
      <c r="G21" s="3174"/>
      <c r="H21" s="1768">
        <v>0.1</v>
      </c>
      <c r="I21" s="1313">
        <f>ROUND(I10*H21,0)</f>
        <v>0</v>
      </c>
    </row>
    <row r="22" spans="1:9" ht="14.25">
      <c r="A22" s="3175" t="s">
        <v>1110</v>
      </c>
      <c r="B22" s="3176"/>
      <c r="C22" s="3177"/>
      <c r="D22" s="1320" t="s">
        <v>1111</v>
      </c>
      <c r="E22" s="1320" t="s">
        <v>1112</v>
      </c>
      <c r="F22" s="1321" t="s">
        <v>1113</v>
      </c>
      <c r="G22" s="1321" t="s">
        <v>1114</v>
      </c>
      <c r="H22" s="1314" t="s">
        <v>1115</v>
      </c>
      <c r="I22" s="1305" t="s">
        <v>1116</v>
      </c>
    </row>
    <row r="23" spans="1:9" ht="14.25" thickBot="1">
      <c r="A23" s="3178"/>
      <c r="B23" s="3179"/>
      <c r="C23" s="3180"/>
      <c r="D23" s="1322"/>
      <c r="E23" s="1322"/>
      <c r="F23" s="1322"/>
      <c r="G23" s="1323"/>
      <c r="H23" s="1324"/>
      <c r="I23" s="1325">
        <f>ROUND(E23*D23*F23*(1-G23)/10000,0)</f>
        <v>0</v>
      </c>
    </row>
    <row r="26" spans="1:9">
      <c r="A26" s="1326" t="s">
        <v>1117</v>
      </c>
      <c r="B26" s="1326"/>
      <c r="C26" s="1326"/>
      <c r="D26" s="1326"/>
      <c r="E26" s="3168">
        <f>C27-C30-C31-C32</f>
        <v>0</v>
      </c>
      <c r="F26" s="3168"/>
      <c r="G26" s="3168"/>
      <c r="H26" s="1740" t="s">
        <v>1340</v>
      </c>
    </row>
    <row r="27" spans="1:9">
      <c r="A27" s="1327">
        <v>1</v>
      </c>
      <c r="B27" s="1328" t="s">
        <v>1118</v>
      </c>
      <c r="C27" s="1328">
        <f>C28+C29</f>
        <v>0</v>
      </c>
      <c r="D27" s="1328"/>
      <c r="E27" s="3169"/>
      <c r="F27" s="3169"/>
      <c r="G27" s="3169"/>
    </row>
    <row r="28" spans="1:9">
      <c r="A28" s="1329" t="s">
        <v>1119</v>
      </c>
      <c r="B28" s="1328" t="s">
        <v>1120</v>
      </c>
      <c r="C28" s="1328"/>
      <c r="D28" s="1328"/>
      <c r="E28" s="3169"/>
      <c r="F28" s="3169"/>
      <c r="G28" s="31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0"/>
      <c r="F32" s="3170"/>
      <c r="G32" s="3170"/>
    </row>
    <row r="33" spans="1:7" hidden="1">
      <c r="A33" s="3165" t="s">
        <v>1129</v>
      </c>
      <c r="B33" s="3166"/>
      <c r="C33" s="3166"/>
      <c r="D33" s="3167"/>
      <c r="E33" s="3168"/>
      <c r="F33" s="3168"/>
      <c r="G33" s="3168"/>
    </row>
    <row r="34" spans="1:7" hidden="1">
      <c r="A34" s="1331">
        <v>1</v>
      </c>
      <c r="B34" s="1328" t="s">
        <v>1130</v>
      </c>
      <c r="C34" s="1328"/>
      <c r="D34" s="1328"/>
      <c r="E34" s="3169"/>
      <c r="F34" s="3169"/>
      <c r="G34" s="3169"/>
    </row>
    <row r="35" spans="1:7" hidden="1">
      <c r="A35" s="1331">
        <v>2</v>
      </c>
      <c r="B35" s="1328" t="s">
        <v>1131</v>
      </c>
      <c r="C35" s="1328"/>
      <c r="D35" s="1328"/>
      <c r="E35" s="3169"/>
      <c r="F35" s="3169"/>
      <c r="G35" s="3169"/>
    </row>
    <row r="36" spans="1:7" hidden="1">
      <c r="A36" s="1331">
        <v>3</v>
      </c>
      <c r="B36" s="1328" t="s">
        <v>1132</v>
      </c>
      <c r="C36" s="1328"/>
      <c r="D36" s="1328"/>
      <c r="E36" s="3169"/>
      <c r="F36" s="3169"/>
      <c r="G36" s="3169"/>
    </row>
    <row r="37" spans="1:7" hidden="1">
      <c r="A37" s="1331">
        <v>4</v>
      </c>
      <c r="B37" s="1328" t="s">
        <v>1133</v>
      </c>
      <c r="C37" s="1328"/>
      <c r="D37" s="1328"/>
      <c r="E37" s="3169"/>
      <c r="F37" s="3169"/>
      <c r="G37" s="3169"/>
    </row>
    <row r="38" spans="1:7" hidden="1">
      <c r="A38" s="3165" t="s">
        <v>1134</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2530</v>
      </c>
      <c r="C1" s="1637" t="s">
        <v>2531</v>
      </c>
      <c r="D1" s="1624"/>
      <c r="E1" s="2585"/>
      <c r="F1" s="2586" t="s">
        <v>2532</v>
      </c>
      <c r="G1" s="1634" t="s">
        <v>2533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2535</v>
      </c>
      <c r="D3" s="399">
        <f>IF(D1="",'数据-汇总表'!E3,SUMIF('数据-汇总表'!$C19:$C33,D1,'数据-汇总表'!$E19:$E33))</f>
        <v>97562.77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2536</v>
      </c>
      <c r="B4" s="402"/>
      <c r="C4" s="3204" t="s">
        <v>2537</v>
      </c>
      <c r="D4" s="3205"/>
      <c r="E4" s="3206" t="s">
        <v>2538</v>
      </c>
      <c r="F4" s="3207"/>
      <c r="G4" s="3204" t="s">
        <v>2539</v>
      </c>
      <c r="H4" s="3205"/>
      <c r="I4" s="3204" t="s">
        <v>2540</v>
      </c>
      <c r="J4" s="3205"/>
      <c r="K4" s="2598" t="s">
        <v>2541</v>
      </c>
      <c r="L4" s="1133"/>
      <c r="M4" s="1134"/>
      <c r="N4" s="1134"/>
      <c r="O4" s="1134"/>
      <c r="P4" s="3208" t="s">
        <v>2542</v>
      </c>
      <c r="Q4" s="3209"/>
      <c r="R4" s="3214" t="s">
        <v>2538</v>
      </c>
      <c r="S4" s="3215"/>
      <c r="T4" s="3214" t="s">
        <v>2539</v>
      </c>
      <c r="U4" s="3215"/>
      <c r="V4" s="3220" t="s">
        <v>2540</v>
      </c>
      <c r="W4" s="3220"/>
      <c r="X4" s="1816"/>
      <c r="Y4" s="3214" t="s">
        <v>2542</v>
      </c>
      <c r="Z4" s="3215"/>
      <c r="AA4" s="3201" t="s">
        <v>2538</v>
      </c>
      <c r="AB4" s="3201" t="s">
        <v>2539</v>
      </c>
      <c r="AC4" s="3201" t="s">
        <v>2540</v>
      </c>
    </row>
    <row r="5" spans="1:29" ht="15">
      <c r="A5" s="404"/>
      <c r="B5" s="405"/>
      <c r="C5" s="3223" t="s">
        <v>2543</v>
      </c>
      <c r="D5" s="3224"/>
      <c r="E5" s="3230" t="s">
        <v>2544</v>
      </c>
      <c r="F5" s="3231"/>
      <c r="G5" s="3223" t="s">
        <v>2545</v>
      </c>
      <c r="H5" s="3224"/>
      <c r="I5" s="3223" t="s">
        <v>2546</v>
      </c>
      <c r="J5" s="3224"/>
      <c r="K5" s="2599"/>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2599"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25" t="s">
        <v>2550</v>
      </c>
      <c r="Q7" s="3227"/>
      <c r="R7" s="770" t="s">
        <v>23</v>
      </c>
      <c r="S7" s="771">
        <f t="shared" ref="S7:S15" si="0">F7</f>
        <v>0</v>
      </c>
      <c r="T7" s="770" t="s">
        <v>23</v>
      </c>
      <c r="U7" s="771">
        <f t="shared" ref="U7:U15" si="1">H7</f>
        <v>0</v>
      </c>
      <c r="V7" s="770" t="s">
        <v>23</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25" t="s">
        <v>2553</v>
      </c>
      <c r="Q8" s="3226"/>
      <c r="R8" s="770" t="s">
        <v>23</v>
      </c>
      <c r="S8" s="771">
        <f t="shared" si="0"/>
        <v>0</v>
      </c>
      <c r="T8" s="770" t="s">
        <v>23</v>
      </c>
      <c r="U8" s="771">
        <f t="shared" si="1"/>
        <v>0</v>
      </c>
      <c r="V8" s="770" t="s">
        <v>23</v>
      </c>
      <c r="W8" s="771">
        <f t="shared" si="2"/>
        <v>0</v>
      </c>
      <c r="X8" s="772"/>
      <c r="Y8" s="3225"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2561</v>
      </c>
      <c r="Q15" s="1813" t="str">
        <f t="shared" si="6"/>
        <v>居住社区成熟度</v>
      </c>
      <c r="R15" s="774" t="s">
        <v>21</v>
      </c>
      <c r="S15" s="775">
        <f t="shared" si="0"/>
        <v>100</v>
      </c>
      <c r="T15" s="774" t="s">
        <v>21</v>
      </c>
      <c r="U15" s="775">
        <f t="shared" si="1"/>
        <v>100</v>
      </c>
      <c r="V15" s="774" t="s">
        <v>21</v>
      </c>
      <c r="W15" s="775">
        <f t="shared" si="2"/>
        <v>100</v>
      </c>
      <c r="X15" s="1816"/>
      <c r="Y15" s="3191" t="s">
        <v>2561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93" t="s">
        <v>2566</v>
      </c>
      <c r="Q32" s="1813" t="str">
        <f t="shared" si="11"/>
        <v>建筑类型</v>
      </c>
      <c r="R32" s="774" t="s">
        <v>21</v>
      </c>
      <c r="S32" s="775">
        <f t="shared" si="12"/>
        <v>100</v>
      </c>
      <c r="T32" s="774" t="s">
        <v>21</v>
      </c>
      <c r="U32" s="775">
        <f t="shared" si="13"/>
        <v>100</v>
      </c>
      <c r="V32" s="774" t="s">
        <v>21</v>
      </c>
      <c r="W32" s="775">
        <f t="shared" si="14"/>
        <v>100</v>
      </c>
      <c r="X32" s="1816"/>
      <c r="Y32" s="3196"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94" t="s">
        <v>2566</v>
      </c>
      <c r="Q38" s="1813" t="str">
        <f t="shared" si="11"/>
        <v>物业管理</v>
      </c>
      <c r="R38" s="774" t="s">
        <v>21</v>
      </c>
      <c r="S38" s="775">
        <f t="shared" si="12"/>
        <v>100</v>
      </c>
      <c r="T38" s="774" t="s">
        <v>21</v>
      </c>
      <c r="U38" s="775">
        <f t="shared" si="13"/>
        <v>100</v>
      </c>
      <c r="V38" s="774" t="s">
        <v>21</v>
      </c>
      <c r="W38" s="775">
        <f t="shared" si="14"/>
        <v>100</v>
      </c>
      <c r="X38" s="1816"/>
      <c r="Y38" s="3196" t="s">
        <v>2566</v>
      </c>
      <c r="Z38" s="1817" t="str">
        <f t="shared" si="18"/>
        <v>物业管理</v>
      </c>
      <c r="AA38" s="1814">
        <f t="shared" si="15"/>
        <v>1</v>
      </c>
      <c r="AB38" s="1814">
        <f t="shared" si="16"/>
        <v>1</v>
      </c>
      <c r="AC38" s="1814">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3"/>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4"/>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5"/>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8"/>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2564</v>
      </c>
      <c r="B100" s="528" t="s">
        <v>2613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7">
        <v>6</v>
      </c>
      <c r="C139" s="1088">
        <v>96</v>
      </c>
      <c r="D139" s="2650" t="s">
        <v>2632</v>
      </c>
      <c r="E139" s="1089">
        <v>100</v>
      </c>
      <c r="F139" s="1090">
        <v>102.5</v>
      </c>
      <c r="G139" s="2650" t="s">
        <v>2632</v>
      </c>
      <c r="H139" s="1091">
        <v>105</v>
      </c>
      <c r="I139" s="2651" t="s">
        <v>2633</v>
      </c>
      <c r="J139" s="1088">
        <v>20</v>
      </c>
      <c r="K139" s="1092">
        <f>C145/(J139-2)</f>
        <v>4.0555555555555553E-3</v>
      </c>
    </row>
    <row r="140" spans="1:17" ht="15">
      <c r="B140" s="1093">
        <v>5</v>
      </c>
      <c r="C140" s="1094">
        <v>100</v>
      </c>
      <c r="D140" s="1094"/>
      <c r="E140" s="1095"/>
      <c r="F140" s="1096">
        <v>102</v>
      </c>
      <c r="G140" s="1094"/>
      <c r="H140" s="1097"/>
      <c r="I140" s="2652" t="s">
        <v>2634</v>
      </c>
      <c r="J140" s="315">
        <f>ROUNDUP((J139-1)/2,0)</f>
        <v>10</v>
      </c>
      <c r="K140" s="1098">
        <v>100</v>
      </c>
    </row>
    <row r="141" spans="1:17" ht="15">
      <c r="B141" s="1093">
        <v>4</v>
      </c>
      <c r="C141" s="1094">
        <v>102</v>
      </c>
      <c r="D141" s="1094"/>
      <c r="E141" s="1095"/>
      <c r="F141" s="1096">
        <v>101.5</v>
      </c>
      <c r="G141" s="1094"/>
      <c r="H141" s="1097"/>
      <c r="I141" s="2652" t="s">
        <v>2635</v>
      </c>
      <c r="J141" s="315">
        <v>1</v>
      </c>
      <c r="K141" s="1099">
        <f>ROUND(100+(J141-J140)*K139*100,1)</f>
        <v>96.4</v>
      </c>
    </row>
    <row r="142" spans="1:17" ht="15">
      <c r="B142" s="1093">
        <v>3</v>
      </c>
      <c r="C142" s="1094">
        <v>103</v>
      </c>
      <c r="D142" s="1094"/>
      <c r="E142" s="1095"/>
      <c r="F142" s="1096">
        <v>101</v>
      </c>
      <c r="G142" s="1094"/>
      <c r="H142" s="1097"/>
      <c r="I142" s="2652" t="s">
        <v>2636</v>
      </c>
      <c r="J142" s="315">
        <f>J139</f>
        <v>20</v>
      </c>
      <c r="K142" s="1100">
        <v>95</v>
      </c>
    </row>
    <row r="143" spans="1:17" ht="15">
      <c r="B143" s="1093">
        <v>2</v>
      </c>
      <c r="C143" s="1094">
        <v>100</v>
      </c>
      <c r="D143" s="1094"/>
      <c r="E143" s="1095"/>
      <c r="F143" s="1096">
        <v>100.5</v>
      </c>
      <c r="G143" s="1094"/>
      <c r="H143" s="1097"/>
      <c r="I143" s="2652" t="s">
        <v>2637</v>
      </c>
      <c r="J143" s="1094">
        <v>15</v>
      </c>
      <c r="K143" s="1099">
        <f>ROUND(100+(J143-J140)*K139*100,1)</f>
        <v>102</v>
      </c>
    </row>
    <row r="144" spans="1:17" ht="15">
      <c r="B144" s="1093">
        <v>1</v>
      </c>
      <c r="C144" s="1094">
        <v>98</v>
      </c>
      <c r="D144" s="2653" t="s">
        <v>2638</v>
      </c>
      <c r="E144" s="1095">
        <v>102</v>
      </c>
      <c r="F144" s="1101">
        <v>100</v>
      </c>
      <c r="G144" s="2653" t="s">
        <v>2638</v>
      </c>
      <c r="H144" s="1097">
        <v>105</v>
      </c>
      <c r="I144" s="2652" t="s">
        <v>2637</v>
      </c>
      <c r="J144" s="1094">
        <v>18</v>
      </c>
      <c r="K144" s="1099">
        <f>ROUND(100+(J144-J140)*K139*100,1)</f>
        <v>103.2</v>
      </c>
    </row>
    <row r="145" spans="2:11" ht="15.75" thickBot="1">
      <c r="B145" s="2654" t="s">
        <v>2639</v>
      </c>
      <c r="C145" s="1102">
        <f>ROUND(MAX(C139:C144)/MIN(C139:C144)-1,3)</f>
        <v>7.2999999999999995E-2</v>
      </c>
      <c r="D145" s="1103"/>
      <c r="E145" s="1103"/>
      <c r="F145" s="2655" t="s">
        <v>2640</v>
      </c>
      <c r="G145" s="2656"/>
      <c r="H145" s="2657"/>
      <c r="I145" s="2658" t="s">
        <v>2637</v>
      </c>
      <c r="J145" s="1104">
        <v>8</v>
      </c>
      <c r="K145" s="1105">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I47" sqref="I47: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2643</v>
      </c>
      <c r="C1" s="1637" t="s">
        <v>2531</v>
      </c>
      <c r="D1" s="1624" t="s">
        <v>3107</v>
      </c>
      <c r="E1" s="2659"/>
      <c r="F1" s="2586" t="s">
        <v>3124</v>
      </c>
      <c r="G1" s="1634" t="s">
        <v>2644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2328</v>
      </c>
      <c r="B2" s="1421">
        <f>IF(C2="——",ROUND(C49*D3/10000,0),ROUND(C49*D3/10000,0)-D2)</f>
        <v>674580</v>
      </c>
      <c r="C2" s="2588" t="s">
        <v>70</v>
      </c>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f>IF(C2="——",C49,ROUND(B2*10000/D3,0))</f>
        <v>112444</v>
      </c>
      <c r="C3" s="400" t="s">
        <v>2645</v>
      </c>
      <c r="D3" s="399">
        <f>IF(D1="",'数据-汇总表'!E3,SUMIF('数据-汇总表'!$C19:$C33,D1,'数据-汇总表'!$E19:$E33))</f>
        <v>59992.51999999999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20" t="s">
        <v>2649</v>
      </c>
      <c r="AC4" s="3201" t="s">
        <v>2650</v>
      </c>
    </row>
    <row r="5" spans="1:29" ht="15">
      <c r="A5" s="404"/>
      <c r="B5" s="405"/>
      <c r="C5" s="3236" t="s">
        <v>3211</v>
      </c>
      <c r="D5" s="3235"/>
      <c r="E5" s="3239" t="s">
        <v>3208</v>
      </c>
      <c r="F5" s="3240"/>
      <c r="G5" s="3234" t="s">
        <v>3209</v>
      </c>
      <c r="H5" s="3235"/>
      <c r="I5" s="3234" t="s">
        <v>3210</v>
      </c>
      <c r="J5" s="3235"/>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32" t="s">
        <v>3212</v>
      </c>
      <c r="D6" s="3233"/>
      <c r="E6" s="3237" t="s">
        <v>3213</v>
      </c>
      <c r="F6" s="3238"/>
      <c r="G6" s="3232" t="s">
        <v>3214</v>
      </c>
      <c r="H6" s="3233"/>
      <c r="I6" s="3232" t="s">
        <v>3213</v>
      </c>
      <c r="J6" s="3233"/>
      <c r="K6" s="610" t="s">
        <v>2548</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2549</v>
      </c>
      <c r="B7" s="409"/>
      <c r="C7" s="410">
        <f>'数据-取费表'!B2</f>
        <v>43119</v>
      </c>
      <c r="D7" s="411">
        <v>100</v>
      </c>
      <c r="E7" s="412">
        <v>43083</v>
      </c>
      <c r="F7" s="413">
        <f>SUMIF(58:58,YEAR(E7)&amp;"-"&amp;MONTH(E7),59:59)</f>
        <v>100</v>
      </c>
      <c r="G7" s="412">
        <v>43074</v>
      </c>
      <c r="H7" s="411">
        <f>SUMIF(58:58,YEAR(G7)&amp;"-"&amp;MONTH(G7),59:59)</f>
        <v>100</v>
      </c>
      <c r="I7" s="412">
        <v>43103</v>
      </c>
      <c r="J7" s="411">
        <f>SUMIF(58:58,YEAR(I7)&amp;"-"&amp;MONTH(I7),59:59)</f>
        <v>100</v>
      </c>
      <c r="K7" s="611"/>
      <c r="L7" s="1135"/>
      <c r="M7" s="1136"/>
      <c r="N7" s="1136"/>
      <c r="O7" s="1136"/>
      <c r="P7" s="3225" t="s">
        <v>2550</v>
      </c>
      <c r="Q7" s="3227"/>
      <c r="R7" s="770" t="s">
        <v>17</v>
      </c>
      <c r="S7" s="771">
        <f t="shared" ref="S7:S15" si="0">F7</f>
        <v>100</v>
      </c>
      <c r="T7" s="770" t="s">
        <v>17</v>
      </c>
      <c r="U7" s="771">
        <f t="shared" ref="U7:U15" si="1">H7</f>
        <v>100</v>
      </c>
      <c r="V7" s="770" t="s">
        <v>17</v>
      </c>
      <c r="W7" s="771">
        <f t="shared" ref="W7:W15" si="2">J7</f>
        <v>100</v>
      </c>
      <c r="X7" s="772"/>
      <c r="Y7" s="3225" t="s">
        <v>2550</v>
      </c>
      <c r="Z7" s="3226"/>
      <c r="AA7" s="773">
        <f>D7/F7</f>
        <v>1</v>
      </c>
      <c r="AB7" s="773">
        <f>D7/H7</f>
        <v>1</v>
      </c>
      <c r="AC7" s="773">
        <f>D7/J7</f>
        <v>1</v>
      </c>
    </row>
    <row r="8" spans="1:29" s="117" customFormat="1" ht="15.75" thickBot="1">
      <c r="A8" s="408" t="s">
        <v>2551</v>
      </c>
      <c r="B8" s="409"/>
      <c r="C8" s="414" t="s">
        <v>2653</v>
      </c>
      <c r="D8" s="411">
        <v>100</v>
      </c>
      <c r="E8" s="414" t="s">
        <v>3171</v>
      </c>
      <c r="F8" s="413">
        <f>SUMIF(61:61,E8,62:62)-SUMIF(61:61,C8,62:62)+100</f>
        <v>100</v>
      </c>
      <c r="G8" s="414" t="s">
        <v>3171</v>
      </c>
      <c r="H8" s="411">
        <f>SUMIF(61:61,G8,62:62)-SUMIF(61:61,C8,62:62)+100</f>
        <v>100</v>
      </c>
      <c r="I8" s="414" t="s">
        <v>3171</v>
      </c>
      <c r="J8" s="411">
        <f>SUMIF(61:61,I8,62:62)-SUMIF(61:61,C8,62:62)+100</f>
        <v>100</v>
      </c>
      <c r="K8" s="611"/>
      <c r="L8" s="1135"/>
      <c r="M8" s="1136"/>
      <c r="N8" s="1136"/>
      <c r="O8" s="1136"/>
      <c r="P8" s="3225" t="s">
        <v>2553</v>
      </c>
      <c r="Q8" s="3226"/>
      <c r="R8" s="770" t="s">
        <v>17</v>
      </c>
      <c r="S8" s="771">
        <f t="shared" si="0"/>
        <v>100</v>
      </c>
      <c r="T8" s="770" t="s">
        <v>17</v>
      </c>
      <c r="U8" s="771">
        <f t="shared" si="1"/>
        <v>100</v>
      </c>
      <c r="V8" s="770" t="s">
        <v>17</v>
      </c>
      <c r="W8" s="771">
        <f t="shared" si="2"/>
        <v>100</v>
      </c>
      <c r="X8" s="772"/>
      <c r="Y8" s="3225" t="s">
        <v>2553</v>
      </c>
      <c r="Z8" s="3226"/>
      <c r="AA8" s="773">
        <f t="shared" ref="AA8:AA46" si="3">D8/F8</f>
        <v>1</v>
      </c>
      <c r="AB8" s="773">
        <f t="shared" ref="AB8:AB46" si="4">D8/H8</f>
        <v>1</v>
      </c>
      <c r="AC8" s="773">
        <f t="shared" ref="AC8:AC46" si="5">D8/J8</f>
        <v>1</v>
      </c>
    </row>
    <row r="9" spans="1:29" s="117" customFormat="1">
      <c r="A9" s="415" t="s">
        <v>2554</v>
      </c>
      <c r="B9" s="71" t="s">
        <v>2555</v>
      </c>
      <c r="C9" s="2957" t="s">
        <v>3172</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t="s">
        <v>3173</v>
      </c>
      <c r="D10" s="136">
        <v>100</v>
      </c>
      <c r="E10" s="424" t="s">
        <v>3173</v>
      </c>
      <c r="F10" s="425">
        <f>SUMIF(65:65,E10,66:66)-SUMIF(65:65,C10,66:66)+100</f>
        <v>100</v>
      </c>
      <c r="G10" s="423" t="s">
        <v>3173</v>
      </c>
      <c r="H10" s="136">
        <f>SUMIF(65:65,G10,66:66)-SUMIF(65:65,C10,66:66)+100</f>
        <v>100</v>
      </c>
      <c r="I10" s="423" t="s">
        <v>3173</v>
      </c>
      <c r="J10" s="136">
        <f>SUMIF(65:65,I10,66:66)-SUMIF(65:65,C10,66:66)+100</f>
        <v>100</v>
      </c>
      <c r="K10" s="612">
        <v>2</v>
      </c>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0"/>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3"/>
      <c r="M15" s="1134"/>
      <c r="N15" s="1134"/>
      <c r="O15" s="1134"/>
      <c r="P15" s="3198" t="s">
        <v>2561</v>
      </c>
      <c r="Q15" s="1813" t="str">
        <f t="shared" si="6"/>
        <v>商业繁华度</v>
      </c>
      <c r="R15" s="774" t="s">
        <v>17</v>
      </c>
      <c r="S15" s="775">
        <f t="shared" si="0"/>
        <v>100</v>
      </c>
      <c r="T15" s="774" t="s">
        <v>17</v>
      </c>
      <c r="U15" s="775">
        <f t="shared" si="1"/>
        <v>100</v>
      </c>
      <c r="V15" s="774" t="s">
        <v>17</v>
      </c>
      <c r="W15" s="775">
        <f t="shared" si="2"/>
        <v>100</v>
      </c>
      <c r="X15" s="1816"/>
      <c r="Y15" s="3191" t="s">
        <v>2561</v>
      </c>
      <c r="Z15" s="1817" t="str">
        <f t="shared" si="7"/>
        <v>商业繁华度</v>
      </c>
      <c r="AA15" s="1814">
        <f t="shared" si="3"/>
        <v>1</v>
      </c>
      <c r="AB15" s="1814">
        <f t="shared" si="4"/>
        <v>1</v>
      </c>
      <c r="AC15" s="1814">
        <f t="shared" si="5"/>
        <v>1</v>
      </c>
    </row>
    <row r="16" spans="1:29" ht="15">
      <c r="A16" s="428"/>
      <c r="B16" s="446"/>
      <c r="C16" s="447" t="s">
        <v>3118</v>
      </c>
      <c r="D16" s="448"/>
      <c r="E16" s="447" t="s">
        <v>3118</v>
      </c>
      <c r="F16" s="449"/>
      <c r="G16" s="447" t="s">
        <v>3118</v>
      </c>
      <c r="H16" s="450"/>
      <c r="I16" s="447" t="s">
        <v>3118</v>
      </c>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0" t="s">
        <v>3118</v>
      </c>
      <c r="D18" s="450"/>
      <c r="E18" s="2612" t="s">
        <v>3118</v>
      </c>
      <c r="F18" s="453"/>
      <c r="G18" s="2611" t="s">
        <v>3118</v>
      </c>
      <c r="H18" s="448"/>
      <c r="I18" s="2612" t="s">
        <v>3118</v>
      </c>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t="s">
        <v>3118</v>
      </c>
      <c r="D20" s="448"/>
      <c r="E20" s="2607" t="s">
        <v>3118</v>
      </c>
      <c r="F20" s="449"/>
      <c r="G20" s="2606" t="s">
        <v>3118</v>
      </c>
      <c r="H20" s="448"/>
      <c r="I20" s="2607" t="s">
        <v>3118</v>
      </c>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t="s">
        <v>3174</v>
      </c>
      <c r="D22" s="448"/>
      <c r="E22" s="447" t="s">
        <v>3174</v>
      </c>
      <c r="F22" s="449"/>
      <c r="G22" s="447" t="s">
        <v>3174</v>
      </c>
      <c r="H22" s="448"/>
      <c r="I22" s="447" t="s">
        <v>3174</v>
      </c>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t="s">
        <v>3120</v>
      </c>
      <c r="D24" s="448"/>
      <c r="E24" s="2607" t="s">
        <v>3120</v>
      </c>
      <c r="F24" s="449"/>
      <c r="G24" s="2606" t="s">
        <v>3120</v>
      </c>
      <c r="H24" s="448"/>
      <c r="I24" s="2607" t="s">
        <v>3120</v>
      </c>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2657</v>
      </c>
      <c r="C25" s="616" t="s">
        <v>3175</v>
      </c>
      <c r="D25" s="435">
        <v>100</v>
      </c>
      <c r="E25" s="616" t="s">
        <v>3175</v>
      </c>
      <c r="F25" s="461">
        <f>SUMIF(86:86,E25,87:87)-SUMIF(86:86,C25,87:87)+100</f>
        <v>100</v>
      </c>
      <c r="G25" s="616" t="s">
        <v>3186</v>
      </c>
      <c r="H25" s="435">
        <f>SUMIF(86:86,G25,87:87)-SUMIF(86:86,C25,87:87)+100</f>
        <v>96</v>
      </c>
      <c r="I25" s="616" t="s">
        <v>3185</v>
      </c>
      <c r="J25" s="435">
        <f>SUMIF(86:86,I25,87:87)-SUMIF(86:86,C25,87:87)+100</f>
        <v>98</v>
      </c>
      <c r="K25" s="612">
        <v>2</v>
      </c>
      <c r="L25" s="1143"/>
      <c r="M25" s="1134"/>
      <c r="N25" s="1134"/>
      <c r="O25" s="1134"/>
      <c r="P25" s="3199"/>
      <c r="Q25" s="1813" t="str">
        <f t="shared" ref="Q25:Q46" si="11">B25</f>
        <v>临街状况</v>
      </c>
      <c r="R25" s="774" t="s">
        <v>17</v>
      </c>
      <c r="S25" s="775">
        <f>F25</f>
        <v>100</v>
      </c>
      <c r="T25" s="774" t="s">
        <v>17</v>
      </c>
      <c r="U25" s="775">
        <f>H25</f>
        <v>96</v>
      </c>
      <c r="V25" s="774" t="s">
        <v>17</v>
      </c>
      <c r="W25" s="775">
        <f>J25</f>
        <v>98</v>
      </c>
      <c r="X25" s="1816"/>
      <c r="Y25" s="3192"/>
      <c r="Z25" s="1817" t="str">
        <f>Q25</f>
        <v>临街状况</v>
      </c>
      <c r="AA25" s="1814">
        <f t="shared" si="3"/>
        <v>1</v>
      </c>
      <c r="AB25" s="1814">
        <f t="shared" si="4"/>
        <v>1.0416666666666667</v>
      </c>
      <c r="AC25" s="1814">
        <f t="shared" si="5"/>
        <v>1.0204081632653061</v>
      </c>
    </row>
    <row r="26" spans="1:29" ht="15">
      <c r="A26" s="428"/>
      <c r="B26" s="1389" t="s">
        <v>2658</v>
      </c>
      <c r="C26" s="2958" t="s">
        <v>3176</v>
      </c>
      <c r="D26" s="435">
        <v>100</v>
      </c>
      <c r="E26" s="2958" t="s">
        <v>3187</v>
      </c>
      <c r="F26" s="461">
        <f>SUMIF(88:88,E26,89:89)-SUMIF(88:88,C26,89:89)+100</f>
        <v>96</v>
      </c>
      <c r="G26" s="2958" t="s">
        <v>3187</v>
      </c>
      <c r="H26" s="435">
        <f>SUMIF(88:88,G26,89:89)-SUMIF(88:88,C26,89:89)+100</f>
        <v>96</v>
      </c>
      <c r="I26" s="2958" t="s">
        <v>3187</v>
      </c>
      <c r="J26" s="435">
        <f>SUMIF(88:88,I26,89:89)-SUMIF(88:88,C26,89:89)+100</f>
        <v>96</v>
      </c>
      <c r="K26" s="613"/>
      <c r="L26" s="1143"/>
      <c r="M26" s="1134"/>
      <c r="N26" s="1134"/>
      <c r="O26" s="1134"/>
      <c r="P26" s="3199"/>
      <c r="Q26" s="1813" t="str">
        <f t="shared" si="11"/>
        <v>平面位置/可视性</v>
      </c>
      <c r="R26" s="774" t="s">
        <v>17</v>
      </c>
      <c r="S26" s="775">
        <f>F26</f>
        <v>96</v>
      </c>
      <c r="T26" s="774" t="s">
        <v>17</v>
      </c>
      <c r="U26" s="775">
        <f>H26</f>
        <v>96</v>
      </c>
      <c r="V26" s="774" t="s">
        <v>17</v>
      </c>
      <c r="W26" s="775">
        <f>J26</f>
        <v>96</v>
      </c>
      <c r="X26" s="1816"/>
      <c r="Y26" s="3192"/>
      <c r="Z26" s="1817" t="str">
        <f>Q26</f>
        <v>平面位置/可视性</v>
      </c>
      <c r="AA26" s="1814">
        <f t="shared" si="3"/>
        <v>1.0416666666666667</v>
      </c>
      <c r="AB26" s="1814">
        <f t="shared" si="4"/>
        <v>1.0416666666666667</v>
      </c>
      <c r="AC26" s="1814">
        <f t="shared" si="5"/>
        <v>1.0416666666666667</v>
      </c>
    </row>
    <row r="27" spans="1:29" s="117" customFormat="1" ht="15">
      <c r="A27" s="431"/>
      <c r="B27" s="451" t="s">
        <v>2659</v>
      </c>
      <c r="C27" s="2667" t="s">
        <v>3207</v>
      </c>
      <c r="D27" s="462">
        <v>100</v>
      </c>
      <c r="E27" s="2667" t="s">
        <v>3207</v>
      </c>
      <c r="F27" s="464">
        <f>SUMIF(90:90,E27,91:91)-SUMIF(90:90,C27,91:91)+100</f>
        <v>100</v>
      </c>
      <c r="G27" s="2667" t="s">
        <v>3207</v>
      </c>
      <c r="H27" s="462">
        <f>SUMIF(90:90,G27,91:91)-SUMIF(90:90,C27,91:91)+100</f>
        <v>100</v>
      </c>
      <c r="I27" s="2667" t="s">
        <v>3207</v>
      </c>
      <c r="J27" s="462">
        <f>SUMIF(90:90,I27,91:91)-SUMIF(90:90,C27,91:91)+100</f>
        <v>100</v>
      </c>
      <c r="K27" s="612">
        <v>2</v>
      </c>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2660</v>
      </c>
      <c r="C28" s="616" t="s">
        <v>3177</v>
      </c>
      <c r="D28" s="435">
        <v>100</v>
      </c>
      <c r="E28" s="616" t="s">
        <v>3177</v>
      </c>
      <c r="F28" s="461">
        <f>SUMIF(92:92,E28,93:93)-SUMIF(92:92,C28,93:93)+100</f>
        <v>100</v>
      </c>
      <c r="G28" s="616" t="s">
        <v>3177</v>
      </c>
      <c r="H28" s="435">
        <f>SUMIF(92:92,G28,93:93)-SUMIF(92:92,C28,93:93)+100</f>
        <v>100</v>
      </c>
      <c r="I28" s="616" t="s">
        <v>3177</v>
      </c>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2564</v>
      </c>
      <c r="B32" s="71" t="s">
        <v>2661</v>
      </c>
      <c r="C32" s="2619" t="s">
        <v>3178</v>
      </c>
      <c r="D32" s="467">
        <v>100</v>
      </c>
      <c r="E32" s="2619" t="s">
        <v>3193</v>
      </c>
      <c r="F32" s="461">
        <f>SUMIF(100:100,E32,101:101)-SUMIF(100:100,C32,101:101)+100</f>
        <v>88</v>
      </c>
      <c r="G32" s="2619" t="s">
        <v>3193</v>
      </c>
      <c r="H32" s="435">
        <f>SUMIF(100:100,G32,101:101)-SUMIF(100:100,C32,101:101)+100</f>
        <v>88</v>
      </c>
      <c r="I32" s="2619" t="s">
        <v>3193</v>
      </c>
      <c r="J32" s="467">
        <f>SUMIF(100:100,I32,101:101)-SUMIF(100:100,C32,101:101)+100</f>
        <v>88</v>
      </c>
      <c r="K32" s="612">
        <v>3</v>
      </c>
      <c r="L32" s="1143"/>
      <c r="M32" s="1134"/>
      <c r="N32" s="1134"/>
      <c r="O32" s="1134"/>
      <c r="P32" s="3193" t="s">
        <v>2566</v>
      </c>
      <c r="Q32" s="1813" t="str">
        <f t="shared" si="11"/>
        <v>商业类型</v>
      </c>
      <c r="R32" s="774" t="s">
        <v>17</v>
      </c>
      <c r="S32" s="775">
        <f t="shared" si="12"/>
        <v>88</v>
      </c>
      <c r="T32" s="774" t="s">
        <v>17</v>
      </c>
      <c r="U32" s="775">
        <f t="shared" si="13"/>
        <v>88</v>
      </c>
      <c r="V32" s="774" t="s">
        <v>17</v>
      </c>
      <c r="W32" s="775">
        <f t="shared" si="14"/>
        <v>88</v>
      </c>
      <c r="X32" s="1816"/>
      <c r="Y32" s="3196" t="s">
        <v>2566</v>
      </c>
      <c r="Z32" s="1817" t="str">
        <f t="shared" si="15"/>
        <v>商业类型</v>
      </c>
      <c r="AA32" s="1814">
        <f t="shared" si="3"/>
        <v>1.1363636363636365</v>
      </c>
      <c r="AB32" s="1814">
        <f t="shared" si="4"/>
        <v>1.1363636363636365</v>
      </c>
      <c r="AC32" s="1814">
        <f t="shared" si="5"/>
        <v>1.1363636363636365</v>
      </c>
    </row>
    <row r="33" spans="1:29" s="471" customFormat="1" ht="15">
      <c r="A33" s="468"/>
      <c r="B33" s="422" t="s">
        <v>2567</v>
      </c>
      <c r="C33" s="469">
        <f>典型户型修正!B24</f>
        <v>2603.7600000000002</v>
      </c>
      <c r="D33" s="136">
        <v>100</v>
      </c>
      <c r="E33" s="430">
        <v>156</v>
      </c>
      <c r="F33" s="425">
        <f>LOOKUP(E33,103:103,104:104)-LOOKUP(C33,103:103,104:104)+100</f>
        <v>105</v>
      </c>
      <c r="G33" s="429">
        <v>1123.5999999999999</v>
      </c>
      <c r="H33" s="136">
        <f>LOOKUP(G33,103:103,104:104)-LOOKUP(C33,103:103,104:104)+100</f>
        <v>103</v>
      </c>
      <c r="I33" s="429">
        <v>330</v>
      </c>
      <c r="J33" s="136">
        <f>LOOKUP(I33,103:103,104:104)-LOOKUP(C33,103:103,104:104)+100</f>
        <v>105</v>
      </c>
      <c r="K33" s="613"/>
      <c r="L33" s="1141"/>
      <c r="M33" s="1144"/>
      <c r="N33" s="1144"/>
      <c r="O33" s="1144"/>
      <c r="P33" s="3194"/>
      <c r="Q33" s="776" t="str">
        <f t="shared" si="11"/>
        <v>项目建筑规模</v>
      </c>
      <c r="R33" s="777" t="s">
        <v>17</v>
      </c>
      <c r="S33" s="778">
        <f t="shared" si="12"/>
        <v>105</v>
      </c>
      <c r="T33" s="777" t="s">
        <v>17</v>
      </c>
      <c r="U33" s="778">
        <f t="shared" si="13"/>
        <v>103</v>
      </c>
      <c r="V33" s="777" t="s">
        <v>17</v>
      </c>
      <c r="W33" s="778">
        <f t="shared" si="14"/>
        <v>105</v>
      </c>
      <c r="X33" s="779"/>
      <c r="Y33" s="3196"/>
      <c r="Z33" s="780" t="str">
        <f t="shared" si="15"/>
        <v>项目建筑规模</v>
      </c>
      <c r="AA33" s="1814">
        <f t="shared" si="3"/>
        <v>0.95238095238095233</v>
      </c>
      <c r="AB33" s="1814">
        <f t="shared" si="4"/>
        <v>0.970873786407767</v>
      </c>
      <c r="AC33" s="1814">
        <f t="shared" si="5"/>
        <v>0.95238095238095233</v>
      </c>
    </row>
    <row r="34" spans="1:29" ht="15">
      <c r="A34" s="472"/>
      <c r="B34" s="422" t="s">
        <v>2568</v>
      </c>
      <c r="C34" s="2621" t="s">
        <v>3179</v>
      </c>
      <c r="D34" s="435">
        <v>100</v>
      </c>
      <c r="E34" s="2621" t="s">
        <v>3179</v>
      </c>
      <c r="F34" s="461">
        <f>SUMIF(105:105,E34,106:106)-SUMIF(105:105,C34,106:106)+100</f>
        <v>100</v>
      </c>
      <c r="G34" s="2621" t="s">
        <v>3179</v>
      </c>
      <c r="H34" s="435">
        <f>SUMIF(105:105,G34,106:106)-SUMIF(105:105,C34,106:106)+100</f>
        <v>100</v>
      </c>
      <c r="I34" s="2621" t="s">
        <v>3179</v>
      </c>
      <c r="J34" s="435">
        <f>SUMIF(105:105,I34,106:106)-SUMIF(105:105,C34,106:106)+100</f>
        <v>100</v>
      </c>
      <c r="K34" s="612">
        <v>2</v>
      </c>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2662</v>
      </c>
      <c r="C35" s="2615" t="s">
        <v>3180</v>
      </c>
      <c r="D35" s="435">
        <v>100</v>
      </c>
      <c r="E35" s="2615" t="s">
        <v>3180</v>
      </c>
      <c r="F35" s="461">
        <f>SUMIF(107:107,E35,108:108)-SUMIF(107:107,C35,108:108)+100</f>
        <v>100</v>
      </c>
      <c r="G35" s="2615" t="s">
        <v>3180</v>
      </c>
      <c r="H35" s="435">
        <f>SUMIF(107:107,G35,108:108)-SUMIF(107:107,C35,108:108)+100</f>
        <v>100</v>
      </c>
      <c r="I35" s="2615" t="s">
        <v>3180</v>
      </c>
      <c r="J35" s="435">
        <f>SUMIF(107:107,I35,108:108)-SUMIF(107:107,C35,108:108)+100</f>
        <v>100</v>
      </c>
      <c r="K35" s="612">
        <v>2</v>
      </c>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2663</v>
      </c>
      <c r="C36" s="474">
        <f>'数据-取费表'!N6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3"/>
      <c r="M36" s="1134"/>
      <c r="N36" s="1134"/>
      <c r="O36" s="1134"/>
      <c r="P36" s="3194"/>
      <c r="Q36" s="1813" t="str">
        <f t="shared" si="11"/>
        <v>成新度</v>
      </c>
      <c r="R36" s="774" t="s">
        <v>17</v>
      </c>
      <c r="S36" s="775">
        <f t="shared" si="12"/>
        <v>100</v>
      </c>
      <c r="T36" s="774" t="s">
        <v>17</v>
      </c>
      <c r="U36" s="775">
        <f t="shared" si="13"/>
        <v>100</v>
      </c>
      <c r="V36" s="774" t="s">
        <v>17</v>
      </c>
      <c r="W36" s="775">
        <f t="shared" si="14"/>
        <v>100</v>
      </c>
      <c r="X36" s="1816"/>
      <c r="Y36" s="3196"/>
      <c r="Z36" s="1817" t="str">
        <f t="shared" si="15"/>
        <v>成新度</v>
      </c>
      <c r="AA36" s="1814">
        <f t="shared" si="3"/>
        <v>1</v>
      </c>
      <c r="AB36" s="1814">
        <f t="shared" si="4"/>
        <v>1</v>
      </c>
      <c r="AC36" s="1814">
        <f t="shared" si="5"/>
        <v>1</v>
      </c>
    </row>
    <row r="37" spans="1:29" s="117" customFormat="1" ht="15">
      <c r="A37" s="473"/>
      <c r="B37" s="422" t="s">
        <v>2664</v>
      </c>
      <c r="C37" s="2615" t="s">
        <v>3174</v>
      </c>
      <c r="D37" s="136">
        <v>100</v>
      </c>
      <c r="E37" s="2615" t="s">
        <v>3174</v>
      </c>
      <c r="F37" s="461">
        <f>SUMIF(112:112,E37,113:113)-SUMIF(112:112,C37,113:113)+100</f>
        <v>100</v>
      </c>
      <c r="G37" s="2615" t="s">
        <v>3174</v>
      </c>
      <c r="H37" s="435">
        <f>SUMIF(112:112,G37,113:113)-SUMIF(112:112,C37,113:113)+100</f>
        <v>100</v>
      </c>
      <c r="I37" s="2615" t="s">
        <v>3174</v>
      </c>
      <c r="J37" s="435">
        <f>SUMIF(112:112,I37,113:113)-SUMIF(112:112,C37,113:113)+100</f>
        <v>100</v>
      </c>
      <c r="K37" s="612">
        <v>2</v>
      </c>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2665</v>
      </c>
      <c r="C38" s="2615" t="s">
        <v>3181</v>
      </c>
      <c r="D38" s="435">
        <v>100</v>
      </c>
      <c r="E38" s="2615" t="s">
        <v>3181</v>
      </c>
      <c r="F38" s="461">
        <f>SUMIF(114:114,E38,115:115)-SUMIF(114:114,C38,115:115)+100</f>
        <v>100</v>
      </c>
      <c r="G38" s="2615" t="s">
        <v>3181</v>
      </c>
      <c r="H38" s="435">
        <f>SUMIF(114:114,G38,115:115)-SUMIF(114:114,C38,115:115)+100</f>
        <v>100</v>
      </c>
      <c r="I38" s="2615" t="s">
        <v>3181</v>
      </c>
      <c r="J38" s="435">
        <f>SUMIF(114:114,I38,115:115)-SUMIF(114:114,C38,115:115)+100</f>
        <v>100</v>
      </c>
      <c r="K38" s="612">
        <v>2</v>
      </c>
      <c r="L38" s="1143"/>
      <c r="M38" s="1134"/>
      <c r="N38" s="1134"/>
      <c r="O38" s="1134"/>
      <c r="P38" s="3194" t="s">
        <v>2566</v>
      </c>
      <c r="Q38" s="1813" t="str">
        <f t="shared" si="11"/>
        <v>业态</v>
      </c>
      <c r="R38" s="774" t="s">
        <v>17</v>
      </c>
      <c r="S38" s="775">
        <f t="shared" si="12"/>
        <v>100</v>
      </c>
      <c r="T38" s="774" t="s">
        <v>17</v>
      </c>
      <c r="U38" s="775">
        <f t="shared" si="13"/>
        <v>100</v>
      </c>
      <c r="V38" s="774" t="s">
        <v>17</v>
      </c>
      <c r="W38" s="775">
        <f t="shared" si="14"/>
        <v>100</v>
      </c>
      <c r="X38" s="1816"/>
      <c r="Y38" s="3196" t="s">
        <v>2566</v>
      </c>
      <c r="Z38" s="1817" t="str">
        <f t="shared" si="15"/>
        <v>业态</v>
      </c>
      <c r="AA38" s="1814">
        <f t="shared" si="3"/>
        <v>1</v>
      </c>
      <c r="AB38" s="1814">
        <f t="shared" si="4"/>
        <v>1</v>
      </c>
      <c r="AC38" s="1814">
        <f t="shared" si="5"/>
        <v>1</v>
      </c>
    </row>
    <row r="39" spans="1:29" ht="15">
      <c r="A39" s="472"/>
      <c r="B39" s="422" t="s">
        <v>2666</v>
      </c>
      <c r="C39" s="2615" t="s">
        <v>3182</v>
      </c>
      <c r="D39" s="435">
        <v>100</v>
      </c>
      <c r="E39" s="2615" t="s">
        <v>3182</v>
      </c>
      <c r="F39" s="461">
        <f>SUMIF(116:116,E39,117:117)-SUMIF(116:116,C39,117:117)+100</f>
        <v>100</v>
      </c>
      <c r="G39" s="2615" t="s">
        <v>3182</v>
      </c>
      <c r="H39" s="435">
        <f>SUMIF(116:116,G39,117:117)-SUMIF(116:116,C39,117:117)+100</f>
        <v>100</v>
      </c>
      <c r="I39" s="2615" t="s">
        <v>3182</v>
      </c>
      <c r="J39" s="435">
        <f>SUMIF(116:116,I39,117:117)-SUMIF(116:116,C39,117:117)+100</f>
        <v>100</v>
      </c>
      <c r="K39" s="612">
        <v>2</v>
      </c>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2668</v>
      </c>
      <c r="C41" s="616" t="s">
        <v>3183</v>
      </c>
      <c r="D41" s="435">
        <v>100</v>
      </c>
      <c r="E41" s="616" t="s">
        <v>3183</v>
      </c>
      <c r="F41" s="461">
        <f>SUMIF(120:120,E41,121:121)-SUMIF(120:120,C41,121:121)+100</f>
        <v>100</v>
      </c>
      <c r="G41" s="616" t="s">
        <v>3183</v>
      </c>
      <c r="H41" s="435">
        <f>SUMIF(120:120,G41,121:121)-SUMIF(120:120,C41,121:121)+100</f>
        <v>100</v>
      </c>
      <c r="I41" s="616" t="s">
        <v>3183</v>
      </c>
      <c r="J41" s="435">
        <f>SUMIF(120:120,I41,121:121)-SUMIF(120:120,C41,121:121)+100</f>
        <v>100</v>
      </c>
      <c r="K41" s="612">
        <v>2</v>
      </c>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2669</v>
      </c>
      <c r="C42" s="2615" t="s">
        <v>3180</v>
      </c>
      <c r="D42" s="435">
        <v>100</v>
      </c>
      <c r="E42" s="2615" t="s">
        <v>3195</v>
      </c>
      <c r="F42" s="461">
        <f>SUMIF(122:122,E42,123:123)-SUMIF(122:122,C42,123:123)+100</f>
        <v>94</v>
      </c>
      <c r="G42" s="2615" t="s">
        <v>3195</v>
      </c>
      <c r="H42" s="435">
        <f>SUMIF(122:122,G42,123:123)-SUMIF(122:122,C42,123:123)+100</f>
        <v>94</v>
      </c>
      <c r="I42" s="2615" t="s">
        <v>3180</v>
      </c>
      <c r="J42" s="435">
        <f>SUMIF(122:122,I42,123:123)-SUMIF(122:122,C42,123:123)+100</f>
        <v>100</v>
      </c>
      <c r="K42" s="612">
        <v>3</v>
      </c>
      <c r="L42" s="1143"/>
      <c r="M42" s="1134"/>
      <c r="N42" s="1134"/>
      <c r="O42" s="1134"/>
      <c r="P42" s="3194"/>
      <c r="Q42" s="1813" t="str">
        <f t="shared" si="11"/>
        <v>内部装修</v>
      </c>
      <c r="R42" s="774" t="s">
        <v>17</v>
      </c>
      <c r="S42" s="775">
        <f t="shared" si="12"/>
        <v>94</v>
      </c>
      <c r="T42" s="774" t="s">
        <v>17</v>
      </c>
      <c r="U42" s="775">
        <f t="shared" si="13"/>
        <v>94</v>
      </c>
      <c r="V42" s="774" t="s">
        <v>17</v>
      </c>
      <c r="W42" s="775">
        <f t="shared" si="14"/>
        <v>100</v>
      </c>
      <c r="X42" s="1816"/>
      <c r="Y42" s="3196"/>
      <c r="Z42" s="1817" t="str">
        <f t="shared" si="15"/>
        <v>内部装修</v>
      </c>
      <c r="AA42" s="1814">
        <f t="shared" si="3"/>
        <v>1.0638297872340425</v>
      </c>
      <c r="AB42" s="1814">
        <f t="shared" si="4"/>
        <v>1.0638297872340425</v>
      </c>
      <c r="AC42" s="1814">
        <f t="shared" si="5"/>
        <v>1</v>
      </c>
    </row>
    <row r="43" spans="1:29" ht="15">
      <c r="A43" s="472"/>
      <c r="B43" s="422" t="s">
        <v>2577</v>
      </c>
      <c r="C43" s="2615" t="s">
        <v>3119</v>
      </c>
      <c r="D43" s="435">
        <v>100</v>
      </c>
      <c r="E43" s="2615" t="s">
        <v>3119</v>
      </c>
      <c r="F43" s="461">
        <f>SUMIF(124:124,E43,125:125)-SUMIF(124:124,C43,125:125)+100</f>
        <v>100</v>
      </c>
      <c r="G43" s="2615" t="s">
        <v>3119</v>
      </c>
      <c r="H43" s="435">
        <f>SUMIF(124:124,G43,125:125)-SUMIF(124:124,C43,125:125)+100</f>
        <v>100</v>
      </c>
      <c r="I43" s="2615" t="s">
        <v>3119</v>
      </c>
      <c r="J43" s="435">
        <f>SUMIF(124:124,I43,125:125)-SUMIF(124:124,C43,125:125)+100</f>
        <v>100</v>
      </c>
      <c r="K43" s="612">
        <v>2</v>
      </c>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2578</v>
      </c>
      <c r="B47" s="480"/>
      <c r="C47" s="1410" t="s">
        <v>1</v>
      </c>
      <c r="D47" s="1411"/>
      <c r="E47" s="1412">
        <f>ROUND(96154*L48,0)</f>
        <v>88462</v>
      </c>
      <c r="F47" s="1413"/>
      <c r="G47" s="1414">
        <f>ROUND(98000*L48,0)</f>
        <v>90160</v>
      </c>
      <c r="H47" s="1415"/>
      <c r="I47" s="1412">
        <f>ROUND(110000*L48,0)</f>
        <v>101200</v>
      </c>
      <c r="J47" s="1415"/>
      <c r="K47" s="783"/>
      <c r="L47" s="1146"/>
      <c r="M47" s="1147"/>
      <c r="N47" s="1134"/>
      <c r="O47" s="1147"/>
      <c r="P47" s="3189" t="str">
        <f>A47</f>
        <v>成交单价（元/平方米）</v>
      </c>
      <c r="Q47" s="3189"/>
      <c r="R47" s="3220">
        <f>E47</f>
        <v>88462</v>
      </c>
      <c r="S47" s="3220"/>
      <c r="T47" s="3220">
        <f>G47</f>
        <v>90160</v>
      </c>
      <c r="U47" s="3220"/>
      <c r="V47" s="3220">
        <f>I47</f>
        <v>101200</v>
      </c>
      <c r="W47" s="3220"/>
      <c r="X47" s="759"/>
      <c r="Y47" s="781"/>
      <c r="Z47" s="759"/>
      <c r="AA47" s="759"/>
      <c r="AB47" s="759"/>
      <c r="AC47" s="759"/>
    </row>
    <row r="48" spans="1:29" ht="15.75" thickBot="1">
      <c r="A48" s="486" t="s">
        <v>2670</v>
      </c>
      <c r="B48" s="487"/>
      <c r="C48" s="1416">
        <f>R49</f>
        <v>112444</v>
      </c>
      <c r="D48" s="1417"/>
      <c r="E48" s="1418">
        <f>R48</f>
        <v>106093</v>
      </c>
      <c r="F48" s="1418"/>
      <c r="G48" s="1416">
        <f>T48</f>
        <v>114822</v>
      </c>
      <c r="H48" s="1417"/>
      <c r="I48" s="1418">
        <f>V48</f>
        <v>116416</v>
      </c>
      <c r="J48" s="1417"/>
      <c r="K48" s="784"/>
      <c r="L48" s="1146">
        <v>0.92</v>
      </c>
      <c r="M48" s="1147"/>
      <c r="N48" s="1134"/>
      <c r="O48" s="1147"/>
      <c r="P48" s="3189" t="str">
        <f>A48</f>
        <v>比较价值（元/平方米）</v>
      </c>
      <c r="Q48" s="3189"/>
      <c r="R48" s="3190">
        <f>IF(F1="售价",ROUND(PRODUCT(R47,AA7:AA46),0),ROUND(PRODUCT(R47,AA7:AA46),1))</f>
        <v>106093</v>
      </c>
      <c r="S48" s="3190"/>
      <c r="T48" s="3190">
        <f>IF(F1="售价",ROUND(PRODUCT(T47,AB7:AB46),0),ROUND(PRODUCT(T47,AB7:AB46),1))</f>
        <v>114822</v>
      </c>
      <c r="U48" s="3190"/>
      <c r="V48" s="3190">
        <f>IF(F1="售价",ROUND(PRODUCT(V47,AC7:AC46),0),ROUND(PRODUCT(V47,AC7:AC46),1))</f>
        <v>116416</v>
      </c>
      <c r="W48" s="3190"/>
      <c r="X48" s="759"/>
      <c r="Y48" s="759"/>
      <c r="Z48" s="759"/>
      <c r="AA48" s="759"/>
      <c r="AB48" s="759"/>
      <c r="AC48" s="759"/>
    </row>
    <row r="49" spans="1:29" ht="15.75" thickBot="1">
      <c r="A49" s="492" t="s">
        <v>2671</v>
      </c>
      <c r="B49" s="493"/>
      <c r="C49" s="1420">
        <f>R49</f>
        <v>112444</v>
      </c>
      <c r="D49" s="1420"/>
      <c r="E49" s="1420"/>
      <c r="F49" s="1420"/>
      <c r="G49" s="1420"/>
      <c r="H49" s="1420"/>
      <c r="I49" s="1420"/>
      <c r="J49" s="1420"/>
      <c r="K49" s="785"/>
      <c r="L49" s="1146"/>
      <c r="M49" s="1147"/>
      <c r="N49" s="1134"/>
      <c r="O49" s="1147"/>
      <c r="P49" s="3186" t="str">
        <f>A49</f>
        <v>估价对象XX用房的比较价值（楼面单价，元/平方米）</v>
      </c>
      <c r="Q49" s="3187"/>
      <c r="R49" s="3188">
        <f>IF(F1="售价",ROUND(AVERAGE(R48:V48),0),ROUND(AVERAGE(R48:V48),1))</f>
        <v>112444</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0.19930591666478259</v>
      </c>
      <c r="F52" s="500" t="str">
        <f>IF(OR(E52&gt;=0.3,E52&lt;=-0.3),"超过30%","")</f>
        <v/>
      </c>
      <c r="G52" s="499">
        <f>IF(G47&lt;G48,G48/G47-1,G47/G48-1)</f>
        <v>0.27353593611357585</v>
      </c>
      <c r="H52" s="500" t="str">
        <f>IF(OR(G52&gt;=0.3,G52&lt;=-0.3),"超过30%","")</f>
        <v/>
      </c>
      <c r="I52" s="499">
        <f>IF(I47&lt;I48,I48/I47-1,I47/I48-1)</f>
        <v>0.15035573122529655</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8.2276870293044757E-2</v>
      </c>
      <c r="F53" s="500" t="str">
        <f>IF(OR(E53&gt;=0.2,E53&lt;=-0.2),"超过20%","")</f>
        <v/>
      </c>
      <c r="G53" s="499">
        <f>IF(G48&lt;I48,I48/G48-1,G48/I48-1)</f>
        <v>1.388235703959162E-2</v>
      </c>
      <c r="H53" s="500" t="str">
        <f>IF(OR(G53&gt;=0.2,G53&lt;=-0.2),"超过20%","")</f>
        <v/>
      </c>
      <c r="I53" s="499">
        <f>IF(I48&lt;E48,E48/I48-1,I48/E48-1)</f>
        <v>9.7301424222144828E-2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1.9194682462526202E-2</v>
      </c>
      <c r="F54" s="500" t="str">
        <f>IF(OR(E54&gt;=0.3,E54&lt;=-0.3),"超过30%","")</f>
        <v/>
      </c>
      <c r="G54" s="499">
        <f>IF(G47&lt;I47,I47/G47-1,G47/I47-1)</f>
        <v>0.12244897959183665</v>
      </c>
      <c r="H54" s="500" t="str">
        <f>IF(OR(G54&gt;=0.3,G54&lt;=-0.3),"超过30%","")</f>
        <v/>
      </c>
      <c r="I54" s="499">
        <f>IF(I47&lt;E47,E47/I47-1,I47/E47-1)</f>
        <v>0.1439940313354886</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2549</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v>100</v>
      </c>
      <c r="E59" s="512">
        <v>98</v>
      </c>
      <c r="F59" s="512">
        <v>97</v>
      </c>
      <c r="G59" s="512">
        <v>96</v>
      </c>
      <c r="H59" s="512">
        <v>95</v>
      </c>
      <c r="I59" s="512">
        <v>94</v>
      </c>
      <c r="J59" s="512">
        <v>93</v>
      </c>
      <c r="K59" s="512">
        <v>92</v>
      </c>
      <c r="L59" s="512">
        <v>91</v>
      </c>
      <c r="M59" s="512">
        <v>90</v>
      </c>
      <c r="N59" s="512">
        <v>89</v>
      </c>
      <c r="O59" s="512">
        <v>88</v>
      </c>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2"/>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v>0</v>
      </c>
      <c r="D68" s="549">
        <v>1</v>
      </c>
      <c r="E68" s="549">
        <v>2</v>
      </c>
      <c r="F68" s="549">
        <v>3</v>
      </c>
      <c r="G68" s="549">
        <v>4</v>
      </c>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2681</v>
      </c>
      <c r="C86" s="2953" t="s">
        <v>3125</v>
      </c>
      <c r="D86" s="2953" t="s">
        <v>3126</v>
      </c>
      <c r="E86" s="2953" t="s">
        <v>3127</v>
      </c>
      <c r="F86" s="2953" t="s">
        <v>3128</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53" t="s">
        <v>3129</v>
      </c>
      <c r="D88" s="2953" t="s">
        <v>3130</v>
      </c>
      <c r="E88" s="2953" t="s">
        <v>3131</v>
      </c>
      <c r="F88" s="2954" t="s">
        <v>3132</v>
      </c>
      <c r="G88" s="2953" t="s">
        <v>3133</v>
      </c>
      <c r="H88" s="554"/>
      <c r="I88" s="554"/>
      <c r="J88" s="554"/>
      <c r="K88" s="554"/>
      <c r="L88" s="554"/>
      <c r="M88" s="581"/>
      <c r="N88" s="1154"/>
      <c r="O88" s="1154"/>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32"/>
      <c r="Q89" s="504"/>
    </row>
    <row r="90" spans="1:17" s="471" customFormat="1" ht="15.75" thickTop="1">
      <c r="A90" s="553"/>
      <c r="B90" s="538" t="str">
        <f>B27</f>
        <v>人流量</v>
      </c>
      <c r="C90" s="2953" t="s">
        <v>3134</v>
      </c>
      <c r="D90" s="2953" t="s">
        <v>3135</v>
      </c>
      <c r="E90" s="2953" t="s">
        <v>3131</v>
      </c>
      <c r="F90" s="2953" t="s">
        <v>3136</v>
      </c>
      <c r="G90" s="2953" t="s">
        <v>3137</v>
      </c>
      <c r="H90" s="555"/>
      <c r="I90" s="555"/>
      <c r="J90" s="555"/>
      <c r="K90" s="555"/>
      <c r="L90" s="556"/>
      <c r="M90" s="557"/>
      <c r="N90" s="1157"/>
      <c r="O90" s="1157"/>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3"/>
      <c r="Q91" s="559"/>
    </row>
    <row r="92" spans="1:17" ht="15.75" thickTop="1">
      <c r="A92" s="534"/>
      <c r="B92" s="538" t="str">
        <f>B28</f>
        <v>楼层</v>
      </c>
      <c r="C92" s="2953" t="s">
        <v>3138</v>
      </c>
      <c r="D92" s="2953" t="s">
        <v>3139</v>
      </c>
      <c r="E92" s="2953" t="s">
        <v>3140</v>
      </c>
      <c r="F92" s="2953" t="s">
        <v>3141</v>
      </c>
      <c r="G92" s="2953" t="s">
        <v>3142</v>
      </c>
      <c r="H92" s="554"/>
      <c r="I92" s="554"/>
      <c r="J92" s="554"/>
      <c r="K92" s="554"/>
      <c r="L92" s="580"/>
      <c r="M92" s="581"/>
      <c r="N92" s="1155"/>
      <c r="O92" s="1155"/>
      <c r="P92" s="2632"/>
      <c r="Q92" s="504"/>
    </row>
    <row r="93" spans="1:17" ht="15.75" thickBot="1">
      <c r="A93" s="534"/>
      <c r="B93" s="543"/>
      <c r="C93" s="536">
        <v>100</v>
      </c>
      <c r="D93" s="536">
        <v>80</v>
      </c>
      <c r="E93" s="536">
        <v>70</v>
      </c>
      <c r="F93" s="536">
        <v>60</v>
      </c>
      <c r="G93" s="536">
        <v>50</v>
      </c>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ht="27">
      <c r="A100" s="527" t="s">
        <v>2564</v>
      </c>
      <c r="B100" s="528" t="s">
        <v>2682</v>
      </c>
      <c r="C100" s="2955" t="s">
        <v>3143</v>
      </c>
      <c r="D100" s="2955" t="s">
        <v>3144</v>
      </c>
      <c r="E100" s="2955" t="s">
        <v>3145</v>
      </c>
      <c r="F100" s="2963" t="s">
        <v>3146</v>
      </c>
      <c r="G100" s="2963" t="s">
        <v>3201</v>
      </c>
      <c r="H100" s="530"/>
      <c r="I100" s="530"/>
      <c r="J100" s="530"/>
      <c r="K100" s="531"/>
      <c r="L100" s="532"/>
      <c r="M100" s="533"/>
      <c r="N100" s="1155"/>
      <c r="O100" s="1155"/>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6"/>
      <c r="O101" s="1156"/>
      <c r="P101" s="2632"/>
      <c r="Q101" s="504"/>
    </row>
    <row r="102" spans="1:17" ht="29.25" thickTop="1">
      <c r="A102" s="534"/>
      <c r="B102" s="538" t="s">
        <v>2614</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500</v>
      </c>
      <c r="E103" s="595">
        <v>1000</v>
      </c>
      <c r="F103" s="595">
        <v>1500</v>
      </c>
      <c r="G103" s="595">
        <v>2000</v>
      </c>
      <c r="H103" s="595">
        <v>2500</v>
      </c>
      <c r="I103" s="595">
        <v>3000</v>
      </c>
      <c r="J103" s="596"/>
      <c r="K103" s="596"/>
      <c r="L103" s="597"/>
      <c r="M103" s="598"/>
      <c r="N103" s="1157"/>
      <c r="O103" s="1157"/>
      <c r="P103" s="2633"/>
      <c r="Q103" s="559"/>
    </row>
    <row r="104" spans="1:17" s="471" customFormat="1" ht="15.75" thickBot="1">
      <c r="A104" s="553"/>
      <c r="B104" s="543"/>
      <c r="C104" s="560">
        <v>100</v>
      </c>
      <c r="D104" s="560">
        <v>99</v>
      </c>
      <c r="E104" s="560">
        <v>98</v>
      </c>
      <c r="F104" s="560">
        <v>97</v>
      </c>
      <c r="G104" s="560">
        <v>96</v>
      </c>
      <c r="H104" s="560">
        <v>95</v>
      </c>
      <c r="I104" s="560">
        <v>94</v>
      </c>
      <c r="J104" s="536"/>
      <c r="K104" s="536"/>
      <c r="L104" s="536"/>
      <c r="M104" s="537"/>
      <c r="N104" s="1156"/>
      <c r="O104" s="1156"/>
      <c r="P104" s="2633"/>
      <c r="Q104" s="559"/>
    </row>
    <row r="105" spans="1:17" ht="15" thickTop="1">
      <c r="A105" s="599"/>
      <c r="B105" s="538" t="s">
        <v>2615</v>
      </c>
      <c r="C105" s="2953" t="s">
        <v>3147</v>
      </c>
      <c r="D105" s="2953" t="s">
        <v>3148</v>
      </c>
      <c r="E105" s="2956" t="s">
        <v>3149</v>
      </c>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6"/>
      <c r="O106" s="1156"/>
      <c r="P106" s="2632"/>
      <c r="Q106" s="504"/>
    </row>
    <row r="107" spans="1:17" ht="15" thickTop="1">
      <c r="A107" s="599"/>
      <c r="B107" s="538" t="s">
        <v>2617</v>
      </c>
      <c r="C107" s="2953" t="s">
        <v>3150</v>
      </c>
      <c r="D107" s="2953" t="s">
        <v>3151</v>
      </c>
      <c r="E107" s="2953" t="s">
        <v>3152</v>
      </c>
      <c r="F107" s="2956" t="s">
        <v>3153</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6"/>
      <c r="O111" s="1156"/>
      <c r="P111" s="2632"/>
      <c r="Q111" s="504"/>
    </row>
    <row r="112" spans="1:17" s="471" customFormat="1" ht="15" thickTop="1">
      <c r="A112" s="593"/>
      <c r="B112" s="538" t="s">
        <v>2619</v>
      </c>
      <c r="C112" s="2953" t="s">
        <v>3154</v>
      </c>
      <c r="D112" s="2953" t="s">
        <v>3155</v>
      </c>
      <c r="E112" s="2953" t="s">
        <v>3156</v>
      </c>
      <c r="F112" s="2953" t="s">
        <v>3157</v>
      </c>
      <c r="G112" s="2953" t="s">
        <v>3158</v>
      </c>
      <c r="H112" s="583"/>
      <c r="I112" s="583"/>
      <c r="J112" s="583"/>
      <c r="K112" s="584"/>
      <c r="L112" s="585"/>
      <c r="M112" s="586"/>
      <c r="N112" s="1157"/>
      <c r="O112" s="1157"/>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3"/>
      <c r="Q113" s="559"/>
    </row>
    <row r="114" spans="1:17" ht="15" thickTop="1">
      <c r="A114" s="599"/>
      <c r="B114" s="538" t="s">
        <v>2683</v>
      </c>
      <c r="C114" s="2953" t="s">
        <v>3159</v>
      </c>
      <c r="D114" s="2953" t="s">
        <v>3160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2632"/>
      <c r="Q115" s="504"/>
    </row>
    <row r="116" spans="1:17" ht="15" thickTop="1">
      <c r="A116" s="599"/>
      <c r="B116" s="538" t="s">
        <v>2684</v>
      </c>
      <c r="C116" s="2953" t="s">
        <v>3161</v>
      </c>
      <c r="D116" s="2953" t="s">
        <v>3162</v>
      </c>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2"/>
      <c r="Q117" s="504"/>
    </row>
    <row r="118" spans="1:17" ht="15" thickTop="1">
      <c r="A118" s="599"/>
      <c r="B118" s="538" t="s">
        <v>2685</v>
      </c>
      <c r="C118" s="627" t="s">
        <v>3163</v>
      </c>
      <c r="D118" s="627" t="s">
        <v>3164</v>
      </c>
      <c r="E118" s="627" t="s">
        <v>3165</v>
      </c>
      <c r="F118" s="627" t="s">
        <v>3166</v>
      </c>
      <c r="G118" s="627" t="s">
        <v>3167</v>
      </c>
      <c r="H118" s="555"/>
      <c r="I118" s="555"/>
      <c r="J118" s="555"/>
      <c r="K118" s="555"/>
      <c r="L118" s="556"/>
      <c r="M118" s="557"/>
      <c r="N118" s="1155"/>
      <c r="O118" s="1155"/>
      <c r="P118" s="2632"/>
      <c r="Q118" s="504"/>
    </row>
    <row r="119" spans="1:17" ht="15.75" thickBot="1">
      <c r="A119" s="534"/>
      <c r="B119" s="543"/>
      <c r="C119" s="560">
        <v>100</v>
      </c>
      <c r="D119" s="560">
        <v>100</v>
      </c>
      <c r="E119" s="560">
        <v>100</v>
      </c>
      <c r="F119" s="560">
        <v>100</v>
      </c>
      <c r="G119" s="560">
        <v>100</v>
      </c>
      <c r="H119" s="536"/>
      <c r="I119" s="536"/>
      <c r="J119" s="536"/>
      <c r="K119" s="536"/>
      <c r="L119" s="536"/>
      <c r="M119" s="537"/>
      <c r="N119" s="1156"/>
      <c r="O119" s="1156"/>
      <c r="P119" s="2632"/>
      <c r="Q119" s="504"/>
    </row>
    <row r="120" spans="1:17" s="471" customFormat="1" ht="15" thickTop="1">
      <c r="A120" s="593"/>
      <c r="B120" s="538" t="s">
        <v>2686</v>
      </c>
      <c r="C120" s="2956" t="s">
        <v>3168</v>
      </c>
      <c r="D120" s="2956" t="s">
        <v>3169</v>
      </c>
      <c r="E120" s="2956" t="s">
        <v>3170</v>
      </c>
      <c r="F120" s="2959" t="s">
        <v>3184</v>
      </c>
      <c r="G120" s="555"/>
      <c r="H120" s="555"/>
      <c r="I120" s="555"/>
      <c r="J120" s="555"/>
      <c r="K120" s="555"/>
      <c r="L120" s="556"/>
      <c r="M120" s="557"/>
      <c r="N120" s="1157"/>
      <c r="O120" s="1157"/>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7"/>
      <c r="O121" s="1157"/>
      <c r="P121" s="2633"/>
      <c r="Q121" s="559"/>
    </row>
    <row r="122" spans="1:17" ht="15" thickTop="1">
      <c r="A122" s="599"/>
      <c r="B122" s="538" t="s">
        <v>2621</v>
      </c>
      <c r="C122" s="2953" t="s">
        <v>3150</v>
      </c>
      <c r="D122" s="2953" t="s">
        <v>3151</v>
      </c>
      <c r="E122" s="2953" t="s">
        <v>3152</v>
      </c>
      <c r="F122" s="2956" t="s">
        <v>3153</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2687</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97562.77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47" t="s">
        <v>2652</v>
      </c>
      <c r="Q4" s="3248"/>
      <c r="R4" s="3251" t="s">
        <v>2648</v>
      </c>
      <c r="S4" s="3252"/>
      <c r="T4" s="3251" t="s">
        <v>2649</v>
      </c>
      <c r="U4" s="3252"/>
      <c r="V4" s="3253" t="s">
        <v>2650</v>
      </c>
      <c r="W4" s="3253"/>
      <c r="X4" s="2672"/>
      <c r="Y4" s="3251" t="s">
        <v>2652</v>
      </c>
      <c r="Z4" s="3252"/>
      <c r="AA4" s="3255" t="s">
        <v>2648</v>
      </c>
      <c r="AB4" s="3255" t="s">
        <v>2649</v>
      </c>
      <c r="AC4" s="3244" t="s">
        <v>2650</v>
      </c>
    </row>
    <row r="5" spans="1:29" ht="15">
      <c r="A5" s="404"/>
      <c r="B5" s="405"/>
      <c r="C5" s="3223" t="s">
        <v>2543</v>
      </c>
      <c r="D5" s="3224"/>
      <c r="E5" s="3230" t="s">
        <v>2544</v>
      </c>
      <c r="F5" s="3231"/>
      <c r="G5" s="3223" t="s">
        <v>2545</v>
      </c>
      <c r="H5" s="3224"/>
      <c r="I5" s="3223" t="s">
        <v>2546</v>
      </c>
      <c r="J5" s="3224"/>
      <c r="K5" s="610"/>
      <c r="L5" s="1133"/>
      <c r="M5" s="1134"/>
      <c r="N5" s="1134"/>
      <c r="O5" s="1134"/>
      <c r="P5" s="3249"/>
      <c r="Q5" s="3211"/>
      <c r="R5" s="3216"/>
      <c r="S5" s="3217"/>
      <c r="T5" s="3216"/>
      <c r="U5" s="3217"/>
      <c r="V5" s="3220"/>
      <c r="W5" s="3220"/>
      <c r="X5" s="1816"/>
      <c r="Y5" s="3216"/>
      <c r="Z5" s="3217"/>
      <c r="AA5" s="3202"/>
      <c r="AB5" s="3202"/>
      <c r="AC5" s="3245"/>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50"/>
      <c r="Q6" s="3213"/>
      <c r="R6" s="3216"/>
      <c r="S6" s="3217"/>
      <c r="T6" s="3218"/>
      <c r="U6" s="3219"/>
      <c r="V6" s="3220"/>
      <c r="W6" s="3220"/>
      <c r="X6" s="1816"/>
      <c r="Y6" s="3218"/>
      <c r="Z6" s="3219"/>
      <c r="AA6" s="3203"/>
      <c r="AB6" s="3203"/>
      <c r="AC6" s="3246"/>
    </row>
    <row r="7" spans="1:29" s="117" customFormat="1" ht="15.75" thickBot="1">
      <c r="A7" s="408" t="s">
        <v>2549</v>
      </c>
      <c r="B7" s="409"/>
      <c r="C7" s="410">
        <f>'数据-取费表'!B2</f>
        <v>43119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2553</v>
      </c>
      <c r="Q8" s="3226"/>
      <c r="R8" s="770" t="s">
        <v>17</v>
      </c>
      <c r="S8" s="771">
        <f t="shared" si="0"/>
        <v>0</v>
      </c>
      <c r="T8" s="770" t="s">
        <v>17</v>
      </c>
      <c r="U8" s="771">
        <f t="shared" si="1"/>
        <v>0</v>
      </c>
      <c r="V8" s="770" t="s">
        <v>17</v>
      </c>
      <c r="W8" s="771">
        <f t="shared" si="2"/>
        <v>0</v>
      </c>
      <c r="X8" s="772"/>
      <c r="Y8" s="3225" t="s">
        <v>2553</v>
      </c>
      <c r="Z8" s="3226"/>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2561</v>
      </c>
      <c r="Q15" s="1813" t="str">
        <f t="shared" si="6"/>
        <v>办公集聚程度</v>
      </c>
      <c r="R15" s="774" t="s">
        <v>17</v>
      </c>
      <c r="S15" s="775">
        <f t="shared" si="0"/>
        <v>100</v>
      </c>
      <c r="T15" s="774" t="s">
        <v>17</v>
      </c>
      <c r="U15" s="775">
        <f t="shared" si="1"/>
        <v>100</v>
      </c>
      <c r="V15" s="774" t="s">
        <v>17</v>
      </c>
      <c r="W15" s="775">
        <f t="shared" si="2"/>
        <v>100</v>
      </c>
      <c r="X15" s="1816"/>
      <c r="Y15" s="3191" t="s">
        <v>2561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99"/>
      <c r="Q18" s="1813"/>
      <c r="R18" s="774"/>
      <c r="S18" s="775"/>
      <c r="T18" s="774"/>
      <c r="U18" s="775"/>
      <c r="V18" s="774"/>
      <c r="W18" s="775"/>
      <c r="X18" s="1816"/>
      <c r="Y18" s="3192"/>
      <c r="Z18" s="1817"/>
      <c r="AA18" s="1814">
        <v>1</v>
      </c>
      <c r="AB18" s="1814">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99"/>
      <c r="Q20" s="1813"/>
      <c r="R20" s="774"/>
      <c r="S20" s="775"/>
      <c r="T20" s="774"/>
      <c r="U20" s="775"/>
      <c r="V20" s="774"/>
      <c r="W20" s="775"/>
      <c r="X20" s="1816"/>
      <c r="Y20" s="3192"/>
      <c r="Z20" s="1817"/>
      <c r="AA20" s="1814">
        <v>1</v>
      </c>
      <c r="AB20" s="1814">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99"/>
      <c r="Q22" s="1813"/>
      <c r="R22" s="774"/>
      <c r="S22" s="775"/>
      <c r="T22" s="774"/>
      <c r="U22" s="775"/>
      <c r="V22" s="774"/>
      <c r="W22" s="775"/>
      <c r="X22" s="1816"/>
      <c r="Y22" s="3192"/>
      <c r="Z22" s="1817"/>
      <c r="AA22" s="1814">
        <v>1</v>
      </c>
      <c r="AB22" s="1814">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99"/>
      <c r="Q24" s="1813"/>
      <c r="R24" s="774"/>
      <c r="S24" s="775"/>
      <c r="T24" s="774"/>
      <c r="U24" s="775"/>
      <c r="V24" s="774"/>
      <c r="W24" s="775"/>
      <c r="X24" s="1816"/>
      <c r="Y24" s="3192"/>
      <c r="Z24" s="1817"/>
      <c r="AA24" s="1814">
        <v>1</v>
      </c>
      <c r="AB24" s="1814">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93" t="s">
        <v>2566</v>
      </c>
      <c r="Q33" s="1813" t="str">
        <f t="shared" si="11"/>
        <v>建筑类型</v>
      </c>
      <c r="R33" s="774" t="s">
        <v>17</v>
      </c>
      <c r="S33" s="775">
        <f t="shared" si="12"/>
        <v>100</v>
      </c>
      <c r="T33" s="774" t="s">
        <v>17</v>
      </c>
      <c r="U33" s="775">
        <f t="shared" si="13"/>
        <v>100</v>
      </c>
      <c r="V33" s="774" t="s">
        <v>17</v>
      </c>
      <c r="W33" s="775">
        <f t="shared" si="14"/>
        <v>100</v>
      </c>
      <c r="X33" s="1816"/>
      <c r="Y33" s="3196" t="s">
        <v>2566</v>
      </c>
      <c r="Z33" s="1817" t="str">
        <f t="shared" si="15"/>
        <v>建筑类型</v>
      </c>
      <c r="AA33" s="1814">
        <f t="shared" si="3"/>
        <v>1</v>
      </c>
      <c r="AB33" s="1814">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2566</v>
      </c>
      <c r="Q39" s="1813" t="str">
        <f t="shared" si="11"/>
        <v>物业管理</v>
      </c>
      <c r="R39" s="774" t="s">
        <v>17</v>
      </c>
      <c r="S39" s="775">
        <f t="shared" si="12"/>
        <v>100</v>
      </c>
      <c r="T39" s="774" t="s">
        <v>17</v>
      </c>
      <c r="U39" s="775">
        <f t="shared" si="13"/>
        <v>100</v>
      </c>
      <c r="V39" s="774" t="s">
        <v>17</v>
      </c>
      <c r="W39" s="775">
        <f t="shared" si="14"/>
        <v>100</v>
      </c>
      <c r="X39" s="1816"/>
      <c r="Y39" s="3196" t="s">
        <v>2566</v>
      </c>
      <c r="Z39" s="1817" t="str">
        <f t="shared" si="15"/>
        <v>物业管理</v>
      </c>
      <c r="AA39" s="1814">
        <f t="shared" si="3"/>
        <v>1</v>
      </c>
      <c r="AB39" s="1814">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76">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76">
        <f t="shared" si="5"/>
        <v>1</v>
      </c>
    </row>
    <row r="48" spans="1:29" ht="15">
      <c r="A48" s="479" t="s">
        <v>2578</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1" t="str">
        <f>A50</f>
        <v>估价对象XX用房的比较价值（楼面单价，元/平方米）</v>
      </c>
      <c r="Q50" s="3242"/>
      <c r="R50" s="3243" t="e">
        <f>IF(F1="售价",ROUND(AVERAGE(R49:V49),0),ROUND(AVERAGE(R49:V49),1))</f>
        <v>#DIV/0!</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3"/>
      <c r="Q58" s="504"/>
    </row>
    <row r="59" spans="1:29" s="508" customFormat="1" ht="15">
      <c r="A59" s="505" t="s">
        <v>2549</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2589</v>
      </c>
      <c r="B64" s="528" t="s">
        <v>2555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2564</v>
      </c>
      <c r="B101" s="528" t="s">
        <v>2613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北京富力城房地产开发有限公司：</v>
      </c>
    </row>
    <row r="4" spans="1:1" ht="36">
      <c r="A4" s="1951" t="str">
        <f>"受贵公司委托，我公司对"&amp;项目基本情况!S1&amp;"进行了预评估。"</f>
        <v>受贵公司委托，我公司对北京市朝阳区东三环中路65号楼房地产抵押价值进行了预评估。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2018年1月19日（评估专业人员实地查勘之日）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2703</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97562.77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1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6" t="s">
        <v>2566</v>
      </c>
      <c r="Q29" s="1813" t="str">
        <f t="shared" si="11"/>
        <v>建筑类型</v>
      </c>
      <c r="R29" s="774" t="s">
        <v>17</v>
      </c>
      <c r="S29" s="775">
        <f t="shared" si="12"/>
        <v>100</v>
      </c>
      <c r="T29" s="774" t="s">
        <v>17</v>
      </c>
      <c r="U29" s="775">
        <f t="shared" si="13"/>
        <v>100</v>
      </c>
      <c r="V29" s="774" t="s">
        <v>17</v>
      </c>
      <c r="W29" s="775">
        <f t="shared" si="14"/>
        <v>100</v>
      </c>
      <c r="X29" s="1816"/>
      <c r="Y29" s="319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2566</v>
      </c>
      <c r="Q35" s="1813" t="str">
        <f t="shared" si="11"/>
        <v>市政基础设施</v>
      </c>
      <c r="R35" s="774" t="s">
        <v>17</v>
      </c>
      <c r="S35" s="775">
        <f t="shared" si="12"/>
        <v>100</v>
      </c>
      <c r="T35" s="774" t="s">
        <v>17</v>
      </c>
      <c r="U35" s="775">
        <f t="shared" si="13"/>
        <v>100</v>
      </c>
      <c r="V35" s="774" t="s">
        <v>17</v>
      </c>
      <c r="W35" s="775">
        <f t="shared" si="14"/>
        <v>100</v>
      </c>
      <c r="X35" s="1816"/>
      <c r="Y35" s="319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6"/>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2556</v>
      </c>
      <c r="Q9" s="1798"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2566</v>
      </c>
      <c r="Q32" s="1813" t="str">
        <f t="shared" si="11"/>
        <v>车位类型</v>
      </c>
      <c r="R32" s="774" t="s">
        <v>17</v>
      </c>
      <c r="S32" s="775">
        <f t="shared" si="12"/>
        <v>100</v>
      </c>
      <c r="T32" s="774" t="s">
        <v>17</v>
      </c>
      <c r="U32" s="775">
        <f t="shared" si="13"/>
        <v>100</v>
      </c>
      <c r="V32" s="774" t="s">
        <v>17</v>
      </c>
      <c r="W32" s="775">
        <f t="shared" si="14"/>
        <v>100</v>
      </c>
      <c r="X32" s="1816"/>
      <c r="Y32" s="319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2721</v>
      </c>
      <c r="B37" s="2697" t="s">
        <v>2722</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2556</v>
      </c>
      <c r="Q9" s="1798" t="str">
        <f t="shared" ref="Q9:Q14" si="6">B9</f>
        <v>用途</v>
      </c>
      <c r="R9" s="770" t="s">
        <v>17</v>
      </c>
      <c r="S9" s="771">
        <f t="shared" si="0"/>
        <v>100</v>
      </c>
      <c r="T9" s="770" t="s">
        <v>17</v>
      </c>
      <c r="U9" s="771">
        <f t="shared" si="1"/>
        <v>100</v>
      </c>
      <c r="V9" s="770" t="s">
        <v>17</v>
      </c>
      <c r="W9" s="771">
        <f t="shared" si="2"/>
        <v>100</v>
      </c>
      <c r="X9" s="772"/>
      <c r="Y9" s="301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2566</v>
      </c>
      <c r="Q32" s="1813">
        <f t="shared" si="11"/>
        <v>111</v>
      </c>
      <c r="R32" s="774" t="s">
        <v>17</v>
      </c>
      <c r="S32" s="775">
        <f t="shared" si="12"/>
        <v>100</v>
      </c>
      <c r="T32" s="774" t="s">
        <v>17</v>
      </c>
      <c r="U32" s="775">
        <f t="shared" si="13"/>
        <v>100</v>
      </c>
      <c r="V32" s="774" t="s">
        <v>17</v>
      </c>
      <c r="W32" s="775">
        <f t="shared" si="14"/>
        <v>100</v>
      </c>
      <c r="X32" s="1816"/>
      <c r="Y32" s="3196" t="s">
        <v>2566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30"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2549</v>
      </c>
      <c r="B7" s="409"/>
      <c r="C7" s="410">
        <f>'数据-取费表'!B2</f>
        <v>43119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89"/>
      <c r="Q10" s="1798" t="str">
        <f t="shared" si="6"/>
        <v>土地使用年限（年）</v>
      </c>
      <c r="R10" s="770" t="s">
        <v>17</v>
      </c>
      <c r="S10" s="771">
        <f t="shared" si="0"/>
        <v>121</v>
      </c>
      <c r="T10" s="770" t="s">
        <v>17</v>
      </c>
      <c r="U10" s="771">
        <f t="shared" si="1"/>
        <v>121</v>
      </c>
      <c r="V10" s="770" t="s">
        <v>17</v>
      </c>
      <c r="W10" s="771">
        <f t="shared" si="2"/>
        <v>121</v>
      </c>
      <c r="X10" s="772"/>
      <c r="Y10" s="3014"/>
      <c r="Z10" s="55" t="str">
        <f t="shared" si="7"/>
        <v>土地使用年限（年）</v>
      </c>
      <c r="AA10" s="773">
        <f t="shared" si="3"/>
        <v>0.82644628099173556</v>
      </c>
      <c r="AB10" s="773">
        <f t="shared" si="4"/>
        <v>0.82644628099173556</v>
      </c>
      <c r="AC10" s="773">
        <f t="shared" si="5"/>
        <v>0.82644628099173556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2561</v>
      </c>
      <c r="Q15" s="1813" t="str">
        <f t="shared" si="6"/>
        <v>居住社区成熟度</v>
      </c>
      <c r="R15" s="774" t="s">
        <v>17</v>
      </c>
      <c r="S15" s="775">
        <f t="shared" si="0"/>
        <v>100</v>
      </c>
      <c r="T15" s="774" t="s">
        <v>17</v>
      </c>
      <c r="U15" s="775">
        <f t="shared" si="1"/>
        <v>100</v>
      </c>
      <c r="V15" s="774" t="s">
        <v>17</v>
      </c>
      <c r="W15" s="775">
        <f t="shared" si="2"/>
        <v>100</v>
      </c>
      <c r="X15" s="1816"/>
      <c r="Y15" s="3191" t="s">
        <v>2561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6" t="s">
        <v>2566</v>
      </c>
      <c r="Q36" s="1813">
        <f t="shared" si="8"/>
        <v>111</v>
      </c>
      <c r="R36" s="774" t="s">
        <v>17</v>
      </c>
      <c r="S36" s="775">
        <f t="shared" si="10"/>
        <v>100</v>
      </c>
      <c r="T36" s="774" t="s">
        <v>17</v>
      </c>
      <c r="U36" s="775">
        <f t="shared" si="11"/>
        <v>100</v>
      </c>
      <c r="V36" s="774" t="s">
        <v>17</v>
      </c>
      <c r="W36" s="775">
        <f t="shared" si="12"/>
        <v>100</v>
      </c>
      <c r="X36" s="1816"/>
      <c r="Y36" s="319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6" t="s">
        <v>2566</v>
      </c>
      <c r="Q42" s="1813" t="str">
        <f t="shared" si="14"/>
        <v>工程地质条件</v>
      </c>
      <c r="R42" s="774" t="s">
        <v>17</v>
      </c>
      <c r="S42" s="775">
        <f t="shared" si="10"/>
        <v>100</v>
      </c>
      <c r="T42" s="774" t="s">
        <v>17</v>
      </c>
      <c r="U42" s="775">
        <f t="shared" si="11"/>
        <v>100</v>
      </c>
      <c r="V42" s="774" t="s">
        <v>17</v>
      </c>
      <c r="W42" s="775">
        <f t="shared" si="12"/>
        <v>100</v>
      </c>
      <c r="X42" s="1816"/>
      <c r="Y42" s="319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2721</v>
      </c>
      <c r="B46" s="2706" t="s">
        <v>2757</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58" t="e">
        <f>ROUND(AVERAGE(R47:V47),0)</f>
        <v>#DIV/0!</v>
      </c>
      <c r="S48" s="3258"/>
      <c r="T48" s="3258"/>
      <c r="U48" s="3258"/>
      <c r="V48" s="3258"/>
      <c r="W48" s="32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204" t="s">
        <v>2765</v>
      </c>
      <c r="H55" s="3259"/>
      <c r="I55" s="144" t="s">
        <v>2766</v>
      </c>
      <c r="J55" s="2709">
        <f>项目基本情况!F35</f>
        <v>0</v>
      </c>
      <c r="K55" s="2710" t="s">
        <v>2767</v>
      </c>
      <c r="L55" s="1109"/>
      <c r="M55" s="1147"/>
      <c r="N55" s="1147"/>
      <c r="O55" s="1147"/>
    </row>
    <row r="56" spans="1:15" s="692" customFormat="1">
      <c r="A56" s="688" t="s">
        <v>2768</v>
      </c>
      <c r="B56" s="689" t="e">
        <f>C48</f>
        <v>#DIV/0!</v>
      </c>
      <c r="C56" s="690">
        <v>1</v>
      </c>
      <c r="D56" s="1166">
        <v>1</v>
      </c>
      <c r="E56" s="690">
        <f>'数据-汇总表'!E8+'数据-汇总表'!E9</f>
        <v>59992.51999999999</v>
      </c>
      <c r="F56" s="1106" t="e">
        <f t="shared" ref="F56:F65" si="15">ROUND(B56*E56/10000,0)</f>
        <v>#DIV/0!</v>
      </c>
      <c r="G56" s="3200"/>
      <c r="H56" s="3189"/>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260"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260"/>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260"/>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260"/>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0.3</v>
      </c>
      <c r="D61" s="1167">
        <v>0.25</v>
      </c>
      <c r="E61" s="261">
        <f>'数据-汇总表'!E11</f>
        <v>0</v>
      </c>
      <c r="F61" s="1106" t="e">
        <f t="shared" si="15"/>
        <v>#DIV/0!</v>
      </c>
      <c r="G61" s="2711" t="s">
        <v>2775</v>
      </c>
      <c r="H61" s="1107" t="str">
        <f>项目基本情况!C37</f>
        <v>二级</v>
      </c>
      <c r="I61" s="1111">
        <f>SUMIF(修正!A45:A56,H61,修正!F45:F56)</f>
        <v>0.3</v>
      </c>
      <c r="J61" s="1115"/>
      <c r="K61" s="1147"/>
      <c r="L61" s="944"/>
      <c r="M61" s="944"/>
      <c r="N61" s="944"/>
      <c r="O61" s="944"/>
    </row>
    <row r="62" spans="1:15" s="692" customFormat="1">
      <c r="A62" s="693" t="s">
        <v>2776</v>
      </c>
      <c r="B62" s="262" t="e">
        <f t="shared" si="17"/>
        <v>#DIV/0!</v>
      </c>
      <c r="C62" s="200">
        <f t="shared" si="16"/>
        <v>0.3</v>
      </c>
      <c r="D62" s="1167">
        <v>0.25</v>
      </c>
      <c r="E62" s="261">
        <f>'数据-汇总表'!E12</f>
        <v>13672.09</v>
      </c>
      <c r="F62" s="1106" t="e">
        <f t="shared" si="15"/>
        <v>#DIV/0!</v>
      </c>
      <c r="G62" s="1112" t="s">
        <v>2777</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0.25</v>
      </c>
      <c r="D64" s="1167">
        <v>0.25</v>
      </c>
      <c r="E64" s="261">
        <f>'数据-汇总表'!E14</f>
        <v>23898.16</v>
      </c>
      <c r="F64" s="1106" t="e">
        <f t="shared" si="15"/>
        <v>#DIV/0!</v>
      </c>
      <c r="G64" s="2711"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0.25</v>
      </c>
      <c r="D65" s="1167">
        <v>0.25</v>
      </c>
      <c r="E65" s="261">
        <f>'数据-汇总表'!E15</f>
        <v>0</v>
      </c>
      <c r="F65" s="1106" t="e">
        <f t="shared" si="15"/>
        <v>#DIV/0!</v>
      </c>
      <c r="G65" s="2712" t="s">
        <v>2775</v>
      </c>
      <c r="H65" s="1117" t="str">
        <f>项目基本情况!C37</f>
        <v>二级</v>
      </c>
      <c r="I65" s="1113">
        <f>SUMIF(修正!A45:A56,H65,修正!H45:H56)</f>
        <v>0.25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97562.76999999999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4"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32" t="s">
        <v>2798</v>
      </c>
      <c r="D6" s="3233"/>
      <c r="E6" s="3237" t="s">
        <v>2798</v>
      </c>
      <c r="F6" s="3238"/>
      <c r="G6" s="3232" t="s">
        <v>2798</v>
      </c>
      <c r="H6" s="3233"/>
      <c r="I6" s="3232" t="s">
        <v>2798</v>
      </c>
      <c r="J6" s="3233"/>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43119</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301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89"/>
      <c r="Q10" s="1798" t="str">
        <f t="shared" si="6"/>
        <v>土地使用年限（年）</v>
      </c>
      <c r="R10" s="770" t="s">
        <v>17</v>
      </c>
      <c r="S10" s="771">
        <f t="shared" si="0"/>
        <v>121</v>
      </c>
      <c r="T10" s="770" t="s">
        <v>17</v>
      </c>
      <c r="U10" s="771">
        <f t="shared" si="1"/>
        <v>121</v>
      </c>
      <c r="V10" s="770" t="s">
        <v>17</v>
      </c>
      <c r="W10" s="771">
        <f t="shared" si="2"/>
        <v>121</v>
      </c>
      <c r="X10" s="772"/>
      <c r="Y10" s="3014"/>
      <c r="Z10" s="55" t="str">
        <f t="shared" si="7"/>
        <v>土地使用年限（年）</v>
      </c>
      <c r="AA10" s="773">
        <f t="shared" si="3"/>
        <v>0.82644628099173556</v>
      </c>
      <c r="AB10" s="773">
        <f t="shared" si="4"/>
        <v>0.82644628099173556</v>
      </c>
      <c r="AC10" s="773">
        <f t="shared" si="5"/>
        <v>0.82644628099173556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6" t="s">
        <v>2566</v>
      </c>
      <c r="Q32" s="1813">
        <f t="shared" si="8"/>
        <v>111</v>
      </c>
      <c r="R32" s="774" t="s">
        <v>17</v>
      </c>
      <c r="S32" s="775">
        <f t="shared" si="10"/>
        <v>100</v>
      </c>
      <c r="T32" s="774" t="s">
        <v>17</v>
      </c>
      <c r="U32" s="775">
        <f t="shared" si="11"/>
        <v>100</v>
      </c>
      <c r="V32" s="774" t="s">
        <v>17</v>
      </c>
      <c r="W32" s="775">
        <f t="shared" si="12"/>
        <v>100</v>
      </c>
      <c r="X32" s="1816"/>
      <c r="Y32" s="3196" t="s">
        <v>2566</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6" t="s">
        <v>2566</v>
      </c>
      <c r="Q37" s="1813" t="str">
        <f t="shared" si="14"/>
        <v>工程地质条件</v>
      </c>
      <c r="R37" s="774" t="s">
        <v>17</v>
      </c>
      <c r="S37" s="775">
        <f t="shared" si="10"/>
        <v>100</v>
      </c>
      <c r="T37" s="774" t="s">
        <v>17</v>
      </c>
      <c r="U37" s="775">
        <f t="shared" si="11"/>
        <v>100</v>
      </c>
      <c r="V37" s="774" t="s">
        <v>17</v>
      </c>
      <c r="W37" s="775">
        <f t="shared" si="12"/>
        <v>100</v>
      </c>
      <c r="X37" s="1816"/>
      <c r="Y37" s="319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2721</v>
      </c>
      <c r="B41" s="2706" t="s">
        <v>2801</v>
      </c>
      <c r="C41" s="682" t="s">
        <v>1</v>
      </c>
      <c r="D41" s="481"/>
      <c r="E41" s="482"/>
      <c r="F41" s="483"/>
      <c r="G41" s="484"/>
      <c r="H41" s="485"/>
      <c r="I41" s="482"/>
      <c r="J41" s="485"/>
      <c r="K41" s="783"/>
      <c r="L41" s="1146"/>
      <c r="M41" s="1134"/>
      <c r="N41" s="1134"/>
      <c r="O41" s="1147"/>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58" t="e">
        <f>ROUND(AVERAGE(R42:V42),0)</f>
        <v>#DIV/0!</v>
      </c>
      <c r="S43" s="3258"/>
      <c r="T43" s="3258"/>
      <c r="U43" s="3258"/>
      <c r="V43" s="3258"/>
      <c r="W43" s="32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204" t="s">
        <v>2765</v>
      </c>
      <c r="H50" s="3259"/>
      <c r="I50" s="1817" t="s">
        <v>2802</v>
      </c>
      <c r="J50" s="1817">
        <f>项目基本情况!F35</f>
        <v>0</v>
      </c>
      <c r="K50" s="2710" t="s">
        <v>2767</v>
      </c>
      <c r="L50" s="1109"/>
      <c r="M50" s="1147"/>
      <c r="N50" s="1147"/>
      <c r="O50" s="1147"/>
    </row>
    <row r="51" spans="1:17" s="692" customFormat="1">
      <c r="A51" s="688" t="s">
        <v>2768</v>
      </c>
      <c r="B51" s="689" t="e">
        <f>C43</f>
        <v>#DIV/0!</v>
      </c>
      <c r="C51" s="690">
        <v>1</v>
      </c>
      <c r="D51" s="1166">
        <v>1</v>
      </c>
      <c r="E51" s="690">
        <f>'数据-汇总表'!E8+'数据-汇总表'!E9</f>
        <v>59992.51999999999</v>
      </c>
      <c r="F51" s="691" t="e">
        <f t="shared" ref="F51:F60" si="15">ROUND(B51*E51/10000,0)</f>
        <v>#DIV/0!</v>
      </c>
      <c r="G51" s="3200"/>
      <c r="H51" s="3189"/>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260"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260"/>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260"/>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260"/>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0.3</v>
      </c>
      <c r="D56" s="1167">
        <v>0.25</v>
      </c>
      <c r="E56" s="261">
        <f>'数据-汇总表'!E11</f>
        <v>0</v>
      </c>
      <c r="F56" s="691" t="e">
        <f t="shared" si="15"/>
        <v>#DIV/0!</v>
      </c>
      <c r="G56" s="2711" t="s">
        <v>2775</v>
      </c>
      <c r="H56" s="1107" t="str">
        <f>项目基本情况!C37</f>
        <v>二级</v>
      </c>
      <c r="I56" s="945">
        <f>SUMIF(修正!A45:A56,H56,修正!F45:F56)</f>
        <v>0.3</v>
      </c>
      <c r="J56" s="946"/>
      <c r="K56" s="1147"/>
      <c r="L56" s="944"/>
      <c r="M56" s="944"/>
      <c r="N56" s="944"/>
      <c r="O56" s="944"/>
    </row>
    <row r="57" spans="1:17" s="692" customFormat="1">
      <c r="A57" s="693" t="s">
        <v>2776</v>
      </c>
      <c r="B57" s="262" t="e">
        <f t="shared" si="17"/>
        <v>#DIV/0!</v>
      </c>
      <c r="C57" s="200">
        <f t="shared" si="16"/>
        <v>0.3</v>
      </c>
      <c r="D57" s="1167">
        <v>0.25</v>
      </c>
      <c r="E57" s="261">
        <f>'数据-汇总表'!E12</f>
        <v>13672.09</v>
      </c>
      <c r="F57" s="691" t="e">
        <f t="shared" si="15"/>
        <v>#DIV/0!</v>
      </c>
      <c r="G57" s="1112" t="s">
        <v>2777</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0.25</v>
      </c>
      <c r="D59" s="1167">
        <v>0.25</v>
      </c>
      <c r="E59" s="261">
        <f>'数据-汇总表'!E14</f>
        <v>23898.16</v>
      </c>
      <c r="F59" s="691" t="e">
        <f t="shared" si="15"/>
        <v>#DIV/0!</v>
      </c>
      <c r="G59" s="2711"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0.25</v>
      </c>
      <c r="D60" s="1167">
        <v>0.25</v>
      </c>
      <c r="E60" s="261">
        <f>'数据-汇总表'!E15</f>
        <v>0</v>
      </c>
      <c r="F60" s="691" t="e">
        <f t="shared" si="15"/>
        <v>#DIV/0!</v>
      </c>
      <c r="G60" s="2712" t="s">
        <v>2775</v>
      </c>
      <c r="H60" s="1117" t="str">
        <f>项目基本情况!C37</f>
        <v>二级</v>
      </c>
      <c r="I60" s="945">
        <f>SUMIF(修正!A45:A56,H60,修正!H45:H56)</f>
        <v>0.25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12702.55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8"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0"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2" t="s">
        <v>3007</v>
      </c>
      <c r="D1" s="3263"/>
      <c r="E1" s="3263"/>
      <c r="F1" s="3263"/>
      <c r="G1" s="3263"/>
      <c r="H1" s="3263"/>
      <c r="I1" s="3263"/>
      <c r="J1" s="3263"/>
      <c r="K1" s="3263"/>
      <c r="L1" s="3263"/>
      <c r="M1" s="3263"/>
      <c r="N1" s="3263"/>
      <c r="O1" s="3263"/>
      <c r="P1" s="3263"/>
      <c r="Q1" s="3263"/>
      <c r="R1" s="3263"/>
      <c r="S1" s="3264"/>
      <c r="T1" s="1207" t="s">
        <v>3008</v>
      </c>
    </row>
    <row r="2" spans="1:45" s="707" customFormat="1" ht="38.25">
      <c r="A2" s="1208"/>
      <c r="B2" s="703" t="s">
        <v>3009</v>
      </c>
      <c r="C2" s="704" t="str">
        <f t="shared" ref="C2:L2" si="0">C3&amp;"(含)"&amp;"-"&amp;D3</f>
        <v>0(含)-1500</v>
      </c>
      <c r="D2" s="705" t="str">
        <f t="shared" si="0"/>
        <v>1500(含)-3000</v>
      </c>
      <c r="E2" s="705" t="str">
        <f t="shared" si="0"/>
        <v>3000(含)-4500</v>
      </c>
      <c r="F2" s="705" t="str">
        <f t="shared" si="0"/>
        <v>4500(含)-6000</v>
      </c>
      <c r="G2" s="705" t="str">
        <f t="shared" si="0"/>
        <v>6000(含)-7500</v>
      </c>
      <c r="H2" s="705" t="str">
        <f t="shared" si="0"/>
        <v>7500(含)-9000</v>
      </c>
      <c r="I2" s="705" t="str">
        <f t="shared" si="0"/>
        <v>9000(含)-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1500</v>
      </c>
      <c r="E3" s="710">
        <v>3000</v>
      </c>
      <c r="F3" s="1707">
        <v>4500</v>
      </c>
      <c r="G3" s="1707">
        <v>6000</v>
      </c>
      <c r="H3" s="1707">
        <v>7500</v>
      </c>
      <c r="I3" s="1707">
        <v>9000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108</v>
      </c>
      <c r="D4" s="1214">
        <v>107</v>
      </c>
      <c r="E4" s="1214">
        <v>106</v>
      </c>
      <c r="F4" s="1711">
        <v>105</v>
      </c>
      <c r="G4" s="1711">
        <v>104</v>
      </c>
      <c r="H4" s="1711">
        <v>103</v>
      </c>
      <c r="I4" s="1711">
        <v>102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75">
      <c r="A17" s="2917" t="s">
        <v>3016</v>
      </c>
      <c r="B17" s="2918" t="s">
        <v>3017</v>
      </c>
      <c r="C17" s="1234" t="s">
        <v>3188</v>
      </c>
      <c r="D17" s="1235" t="s">
        <v>3189</v>
      </c>
      <c r="E17" s="1235" t="s">
        <v>3190</v>
      </c>
      <c r="F17" s="1235" t="s">
        <v>3191</v>
      </c>
      <c r="G17" s="1235" t="s">
        <v>3192</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50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3018</v>
      </c>
      <c r="E19" s="1795"/>
      <c r="F19" s="1795"/>
      <c r="G19" s="1795"/>
      <c r="H19" s="1283"/>
      <c r="I19" s="168"/>
      <c r="J19" s="168"/>
      <c r="K19" s="168"/>
      <c r="L19" s="168"/>
      <c r="M19" s="168"/>
      <c r="N19" s="168"/>
      <c r="O19" s="168"/>
      <c r="P19" s="168"/>
      <c r="Q19" s="168"/>
      <c r="R19" s="788"/>
      <c r="S19" s="138"/>
    </row>
    <row r="20" spans="1:45" ht="16.5" thickBot="1">
      <c r="A20" s="715" t="s">
        <v>3019</v>
      </c>
      <c r="B20" s="338">
        <f>IF(D20="——",S22,S22-F20)</f>
        <v>458870</v>
      </c>
      <c r="C20" s="168"/>
      <c r="D20" s="2920" t="s">
        <v>70</v>
      </c>
      <c r="E20" s="1796"/>
      <c r="F20" s="1207" t="e">
        <f ca="1">SUMIF(INDIRECT("'"&amp;H20&amp;"'"&amp;"!A:A"),"承租人权益价值",INDIRECT("'"&amp;H20&amp;"'"&amp;"!c:c"))</f>
        <v>#REF!</v>
      </c>
      <c r="G20" s="1207" t="s">
        <v>3020</v>
      </c>
      <c r="H20" s="2921"/>
      <c r="I20" s="168"/>
      <c r="J20" s="168"/>
      <c r="K20" s="168"/>
      <c r="L20" s="168"/>
      <c r="M20" s="168"/>
      <c r="N20" s="168"/>
      <c r="O20" s="168"/>
      <c r="P20" s="168"/>
      <c r="Q20" s="168"/>
      <c r="R20" s="788"/>
      <c r="S20" s="138"/>
    </row>
    <row r="21" spans="1:45" ht="15.75">
      <c r="A21" s="715" t="s">
        <v>3021</v>
      </c>
      <c r="B21" s="338">
        <f>R22</f>
        <v>76488</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59992.51999999999</v>
      </c>
      <c r="C22" s="3151" t="s">
        <v>33</v>
      </c>
      <c r="D22" s="3152"/>
      <c r="E22" s="3152"/>
      <c r="F22" s="3152"/>
      <c r="G22" s="3152"/>
      <c r="H22" s="3152"/>
      <c r="I22" s="3152"/>
      <c r="J22" s="3152"/>
      <c r="K22" s="3152"/>
      <c r="L22" s="3152"/>
      <c r="M22" s="3152"/>
      <c r="N22" s="3152"/>
      <c r="O22" s="3152"/>
      <c r="P22" s="3152"/>
      <c r="Q22" s="3261"/>
      <c r="R22" s="716">
        <f>ROUND(S22*10000/B22,0)</f>
        <v>76488</v>
      </c>
      <c r="S22" s="24">
        <f>SUM(S24:S10000)</f>
        <v>458870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0" t="s">
        <v>3194</v>
      </c>
      <c r="B24" s="718">
        <v>2603.7600000000002</v>
      </c>
      <c r="C24" s="719">
        <v>1</v>
      </c>
      <c r="D24" s="720"/>
      <c r="E24" s="719">
        <v>1</v>
      </c>
      <c r="F24" s="720"/>
      <c r="G24" s="719">
        <v>1</v>
      </c>
      <c r="H24" s="720"/>
      <c r="I24" s="719">
        <v>1</v>
      </c>
      <c r="J24" s="720"/>
      <c r="K24" s="719">
        <v>1</v>
      </c>
      <c r="L24" s="720"/>
      <c r="M24" s="719">
        <v>1</v>
      </c>
      <c r="N24" s="720"/>
      <c r="O24" s="719">
        <v>1</v>
      </c>
      <c r="P24" s="720" t="s">
        <v>3177</v>
      </c>
      <c r="Q24" s="719">
        <v>1</v>
      </c>
      <c r="R24" s="721">
        <f>'比较法-商业'!C49</f>
        <v>112444</v>
      </c>
      <c r="S24" s="719">
        <f t="shared" ref="S24:S54" si="11">ROUND(R24*B24/10000,0)</f>
        <v>29278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v>8182.27</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3177</v>
      </c>
      <c r="Q25" s="24">
        <f>(SUMIF($17:$17,P25,$18:$18)-SUMIF($17:$17,$P$24,$18:$18)+100)/100</f>
        <v>1</v>
      </c>
      <c r="R25" s="716">
        <f>IF(B25="",0,ROUND($R$24*C25*E25*G25*I25*K25*M25*O25*Q25,0))</f>
        <v>107946</v>
      </c>
      <c r="S25" s="361">
        <f t="shared" si="11"/>
        <v>88324</v>
      </c>
    </row>
    <row r="26" spans="1:45">
      <c r="A26" s="159">
        <v>103</v>
      </c>
      <c r="B26" s="59">
        <v>83.01</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3177</v>
      </c>
      <c r="Q26" s="24">
        <f t="shared" ref="Q26:Q89" si="19">(SUMIF($17:$17,P26,$18:$18)-SUMIF($17:$17,$P$24,$18:$18)+100)/100</f>
        <v>1</v>
      </c>
      <c r="R26" s="716">
        <f t="shared" ref="R26:R89" si="20">IF(B26="",0,ROUND($R$24*C26*E26*G26*I26*K26*M26*O26*Q26,0))</f>
        <v>113568</v>
      </c>
      <c r="S26" s="361">
        <f t="shared" si="11"/>
        <v>943</v>
      </c>
    </row>
    <row r="27" spans="1:45">
      <c r="A27" s="159">
        <v>104</v>
      </c>
      <c r="B27" s="59">
        <v>74.56</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3177</v>
      </c>
      <c r="Q27" s="24">
        <f t="shared" si="19"/>
        <v>1</v>
      </c>
      <c r="R27" s="716">
        <f t="shared" si="20"/>
        <v>113568</v>
      </c>
      <c r="S27" s="361">
        <f t="shared" si="11"/>
        <v>847</v>
      </c>
    </row>
    <row r="28" spans="1:45">
      <c r="A28" s="159">
        <v>201</v>
      </c>
      <c r="B28" s="59">
        <v>2949.96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3196</v>
      </c>
      <c r="Q28" s="24">
        <f t="shared" si="19"/>
        <v>0.8</v>
      </c>
      <c r="R28" s="716">
        <f t="shared" si="20"/>
        <v>89955</v>
      </c>
      <c r="S28" s="361">
        <f t="shared" si="11"/>
        <v>26536</v>
      </c>
    </row>
    <row r="29" spans="1:45">
      <c r="A29" s="159">
        <v>202</v>
      </c>
      <c r="B29" s="59">
        <v>7724.88</v>
      </c>
      <c r="C29" s="24">
        <f t="shared" si="12"/>
        <v>0.96</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3196</v>
      </c>
      <c r="Q29" s="24">
        <f t="shared" si="19"/>
        <v>0.8</v>
      </c>
      <c r="R29" s="716">
        <f t="shared" si="20"/>
        <v>86357</v>
      </c>
      <c r="S29" s="361">
        <f t="shared" si="11"/>
        <v>66710</v>
      </c>
    </row>
    <row r="30" spans="1:45" ht="13.5">
      <c r="A30" s="2944">
        <v>301</v>
      </c>
      <c r="B30" s="59">
        <v>2986.66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3197</v>
      </c>
      <c r="Q30" s="24">
        <f t="shared" si="19"/>
        <v>0.7</v>
      </c>
      <c r="R30" s="716">
        <f t="shared" si="20"/>
        <v>78711</v>
      </c>
      <c r="S30" s="361">
        <f t="shared" si="11"/>
        <v>23508</v>
      </c>
    </row>
    <row r="31" spans="1:45" ht="13.5">
      <c r="A31" s="2944">
        <v>302</v>
      </c>
      <c r="B31" s="59">
        <v>8072.55</v>
      </c>
      <c r="C31" s="24">
        <f t="shared" si="12"/>
        <v>0.96</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3197</v>
      </c>
      <c r="Q31" s="24">
        <f t="shared" si="19"/>
        <v>0.7</v>
      </c>
      <c r="R31" s="716">
        <f t="shared" si="20"/>
        <v>75562</v>
      </c>
      <c r="S31" s="361">
        <f t="shared" si="11"/>
        <v>60998</v>
      </c>
    </row>
    <row r="32" spans="1:45" ht="13.5">
      <c r="A32" s="2944">
        <v>501</v>
      </c>
      <c r="B32" s="59">
        <v>2994.27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3198</v>
      </c>
      <c r="Q32" s="24">
        <f t="shared" si="19"/>
        <v>0.6</v>
      </c>
      <c r="R32" s="716">
        <f t="shared" si="20"/>
        <v>67466</v>
      </c>
      <c r="S32" s="361">
        <f t="shared" si="11"/>
        <v>20201</v>
      </c>
    </row>
    <row r="33" spans="1:19" ht="13.5">
      <c r="A33" s="2944">
        <v>502</v>
      </c>
      <c r="B33" s="59">
        <v>5052.3100000000004</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3198</v>
      </c>
      <c r="Q33" s="24">
        <f t="shared" si="19"/>
        <v>0.6</v>
      </c>
      <c r="R33" s="716">
        <f t="shared" si="20"/>
        <v>66117</v>
      </c>
      <c r="S33" s="361">
        <f t="shared" si="11"/>
        <v>33404</v>
      </c>
    </row>
    <row r="34" spans="1:19" ht="13.5">
      <c r="A34" s="2944">
        <v>601</v>
      </c>
      <c r="B34" s="59">
        <v>2367.5700000000002</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3199</v>
      </c>
      <c r="Q34" s="24">
        <f t="shared" si="19"/>
        <v>0.5</v>
      </c>
      <c r="R34" s="716">
        <f t="shared" si="20"/>
        <v>56222</v>
      </c>
      <c r="S34" s="361">
        <f t="shared" si="11"/>
        <v>13311</v>
      </c>
    </row>
    <row r="35" spans="1:19" ht="13.5">
      <c r="A35" s="2944">
        <v>602</v>
      </c>
      <c r="B35" s="59">
        <v>3706.94</v>
      </c>
      <c r="C35" s="24">
        <f t="shared" si="12"/>
        <v>0.99</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3199</v>
      </c>
      <c r="Q35" s="24">
        <f t="shared" si="19"/>
        <v>0.5</v>
      </c>
      <c r="R35" s="716">
        <f t="shared" si="20"/>
        <v>55660</v>
      </c>
      <c r="S35" s="361">
        <f t="shared" si="11"/>
        <v>20633</v>
      </c>
    </row>
    <row r="36" spans="1:19" ht="13.5">
      <c r="A36" s="2944">
        <v>701</v>
      </c>
      <c r="B36" s="59">
        <v>2263.92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3199</v>
      </c>
      <c r="Q36" s="24">
        <f t="shared" si="19"/>
        <v>0.5</v>
      </c>
      <c r="R36" s="716">
        <f t="shared" si="20"/>
        <v>56222</v>
      </c>
      <c r="S36" s="361">
        <f t="shared" si="11"/>
        <v>12728</v>
      </c>
    </row>
    <row r="37" spans="1:19" ht="13.5">
      <c r="A37" s="2944">
        <v>702</v>
      </c>
      <c r="B37" s="59">
        <v>2516.3200000000002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3199</v>
      </c>
      <c r="Q37" s="24">
        <f t="shared" si="19"/>
        <v>0.5</v>
      </c>
      <c r="R37" s="716">
        <f t="shared" si="20"/>
        <v>56222</v>
      </c>
      <c r="S37" s="361">
        <f t="shared" si="11"/>
        <v>14147</v>
      </c>
    </row>
    <row r="38" spans="1:19" ht="13.5">
      <c r="A38" s="2944">
        <v>801</v>
      </c>
      <c r="B38" s="59">
        <v>1694.06</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3199</v>
      </c>
      <c r="Q38" s="24">
        <f t="shared" si="19"/>
        <v>0.5</v>
      </c>
      <c r="R38" s="716">
        <f t="shared" si="20"/>
        <v>56222</v>
      </c>
      <c r="S38" s="361">
        <f t="shared" si="11"/>
        <v>9524</v>
      </c>
    </row>
    <row r="39" spans="1:19" ht="13.5">
      <c r="A39" s="2944">
        <v>901</v>
      </c>
      <c r="B39" s="59">
        <v>1694.06</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3199</v>
      </c>
      <c r="Q39" s="24">
        <f t="shared" si="19"/>
        <v>0.5</v>
      </c>
      <c r="R39" s="716">
        <f t="shared" si="20"/>
        <v>56222</v>
      </c>
      <c r="S39" s="361">
        <f t="shared" si="11"/>
        <v>9524</v>
      </c>
    </row>
    <row r="40" spans="1:19" ht="13.5">
      <c r="A40" s="2944">
        <v>1001</v>
      </c>
      <c r="B40" s="59">
        <v>1675.14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3199</v>
      </c>
      <c r="Q40" s="24">
        <f t="shared" si="19"/>
        <v>0.5</v>
      </c>
      <c r="R40" s="716">
        <f t="shared" si="20"/>
        <v>56222</v>
      </c>
      <c r="S40" s="361">
        <f t="shared" si="11"/>
        <v>9418</v>
      </c>
    </row>
    <row r="41" spans="1:19" ht="13.5">
      <c r="A41" s="2944">
        <v>1101</v>
      </c>
      <c r="B41" s="59">
        <v>1675.14</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3199</v>
      </c>
      <c r="Q41" s="24">
        <f t="shared" si="19"/>
        <v>0.5</v>
      </c>
      <c r="R41" s="716">
        <f t="shared" si="20"/>
        <v>56222</v>
      </c>
      <c r="S41" s="361">
        <f t="shared" si="11"/>
        <v>9418</v>
      </c>
    </row>
    <row r="42" spans="1:19" ht="13.5">
      <c r="A42" s="2944">
        <v>1201</v>
      </c>
      <c r="B42" s="59">
        <v>1675.14</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3199</v>
      </c>
      <c r="Q42" s="24">
        <f t="shared" si="19"/>
        <v>0.5</v>
      </c>
      <c r="R42" s="716">
        <f t="shared" si="20"/>
        <v>56222</v>
      </c>
      <c r="S42" s="361">
        <f t="shared" si="11"/>
        <v>9418</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Normal="100" zoomScaleSheetLayoutView="96" workbookViewId="0">
      <selection activeCell="E42" sqref="E42"/>
    </sheetView>
  </sheetViews>
  <sheetFormatPr defaultColWidth="12" defaultRowHeight="12.75"/>
  <cols>
    <col min="1" max="1" width="9.75" style="2797" customWidth="1"/>
    <col min="2" max="2" width="19.25" style="2903" customWidth="1"/>
    <col min="3" max="4" width="12" style="2722"/>
    <col min="5" max="5" width="14.625" style="2722" customWidth="1"/>
    <col min="6" max="8" width="12" style="2722"/>
    <col min="9" max="9" width="12.25" style="2722" bestFit="1" customWidth="1"/>
    <col min="10" max="10" width="12" style="2722"/>
    <col min="11" max="11" width="8.125" style="2789" customWidth="1"/>
    <col min="12" max="12" width="12" style="2722"/>
    <col min="13" max="13" width="8.5" style="2722" customWidth="1"/>
    <col min="14" max="14" width="9.75" style="2722" customWidth="1"/>
    <col min="15" max="25" width="12" style="2722"/>
    <col min="26" max="26" width="9.375" style="2797" customWidth="1"/>
    <col min="27" max="32" width="9.375" style="1375" customWidth="1"/>
    <col min="33" max="36" width="9.375" style="2797" customWidth="1"/>
    <col min="37" max="38" width="9.375" style="2722" customWidth="1"/>
    <col min="39" max="16384" width="12" style="2722"/>
  </cols>
  <sheetData>
    <row r="1" spans="1:36" ht="28.5">
      <c r="A1" s="240" t="s">
        <v>2805</v>
      </c>
      <c r="B1" s="241"/>
      <c r="C1" s="245" t="s">
        <v>2806</v>
      </c>
      <c r="D1" s="388">
        <f>SUM(D29:D30,D33:D39)</f>
        <v>37570.25</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26631</v>
      </c>
      <c r="C2" s="2723" t="s">
        <v>2814</v>
      </c>
      <c r="D2" s="2724" t="s">
        <v>2815</v>
      </c>
      <c r="E2" s="2725" t="s">
        <v>1377</v>
      </c>
      <c r="F2" s="2724" t="s">
        <v>2816</v>
      </c>
      <c r="G2" s="2726" t="str">
        <f>IF(E2="商业",项目基本情况!B37,IF(E2="办公",项目基本情况!C37,IF(E2="住宅",项目基本情况!D37,项目基本情况!E37)))</f>
        <v>二级</v>
      </c>
      <c r="H2" s="2724" t="s">
        <v>2817</v>
      </c>
      <c r="I2" s="2726" t="str">
        <f>IF(E2="商业",项目基本情况!B38,IF(E2="办公",项目基本情况!C38,IF(E2="住宅",项目基本情况!D38,项目基本情况!E38)))</f>
        <v>Ⅱ—10</v>
      </c>
      <c r="J2" s="2727"/>
      <c r="K2" s="1373"/>
      <c r="L2" s="2728" t="s">
        <v>2818</v>
      </c>
      <c r="M2" s="1084">
        <f>SUMPRODUCT((区片价!B10:B28=I2)*(区片价!C3:F3=E2)*(区片价!C10:F28))</f>
        <v>23430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51173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7088</v>
      </c>
      <c r="C3" s="2723" t="s">
        <v>2820</v>
      </c>
      <c r="D3" s="2724" t="s">
        <v>2821</v>
      </c>
      <c r="E3" s="2961" t="s">
        <v>3200</v>
      </c>
      <c r="F3" s="2729" t="s">
        <v>2822</v>
      </c>
      <c r="G3" s="916">
        <f>IF(F3="宗地容积率",'数据-汇总表'!I4,IF(F3="估价对象容积率",'数据-汇总表'!I6,'数据-汇总表'!I7))</f>
        <v>2.72</v>
      </c>
      <c r="H3" s="198" t="s">
        <v>2823</v>
      </c>
      <c r="I3" s="947">
        <v>11</v>
      </c>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37524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28"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30642</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f>ROUND(IF(E2="商业",IF(F16="增加",C6*C7+C16,C6*C7-C16),IF(E2="住宅",IF(F16="增加",C6*C12+C16,C6*C12-C16),IF(F16="增加",C6+C16,C6-C16))),0)</f>
        <v>23430</v>
      </c>
      <c r="D5" s="1790">
        <f>ROUND(IF(E2="商业",IF(F16="增加",C6+C16,C6-C16)),0)</f>
        <v>23430</v>
      </c>
      <c r="E5" s="2732"/>
      <c r="F5" s="2732"/>
      <c r="G5" s="2733"/>
      <c r="H5" s="2733"/>
      <c r="I5" s="2733"/>
      <c r="J5" s="2734"/>
      <c r="K5" s="2735"/>
      <c r="L5" s="2728"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25430</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23430</v>
      </c>
      <c r="D6" s="2742" t="s">
        <v>2831</v>
      </c>
      <c r="E6" s="2743"/>
      <c r="F6" s="2743"/>
      <c r="G6" s="2744"/>
      <c r="H6" s="2744"/>
      <c r="I6" s="2744"/>
      <c r="J6" s="2745"/>
      <c r="K6" s="1845"/>
      <c r="L6" s="2728"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22246</v>
      </c>
      <c r="U6" s="1606"/>
      <c r="V6" s="1605">
        <f t="shared" ca="1" si="1"/>
        <v>0</v>
      </c>
      <c r="W6" s="1609"/>
      <c r="X6" s="1609"/>
      <c r="Y6" s="1609"/>
      <c r="Z6" s="1609"/>
      <c r="AA6" s="1609"/>
      <c r="AB6" s="1609"/>
      <c r="AC6" s="2736"/>
      <c r="AD6" s="2737"/>
      <c r="AE6" s="2737"/>
      <c r="AF6" s="2737"/>
      <c r="AG6" s="2737"/>
      <c r="AH6" s="2737"/>
      <c r="AI6" s="2737"/>
      <c r="AJ6" s="2738"/>
    </row>
    <row r="7" spans="1:36" ht="24.75" thickBot="1">
      <c r="A7" s="3272" t="str">
        <f>IF(E2="商业",IF(C8="不临58条商业街","",2),"")</f>
        <v/>
      </c>
      <c r="B7" s="2746" t="s">
        <v>2833</v>
      </c>
      <c r="C7" s="919">
        <f>IF(C8="不临58条商业街",1,ROUND(1+(1.6*E8+1.2*E9+0.8*E10+0.4*E11)*C9,4))</f>
        <v>1</v>
      </c>
      <c r="D7" s="2747" t="s">
        <v>2834</v>
      </c>
      <c r="E7" s="948">
        <v>60</v>
      </c>
      <c r="F7" s="2748"/>
      <c r="G7" s="2749"/>
      <c r="H7" s="2749"/>
      <c r="I7" s="2749"/>
      <c r="J7" s="2750"/>
      <c r="K7" s="1845"/>
      <c r="L7" s="2728"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20107</v>
      </c>
      <c r="U7" s="1606"/>
      <c r="V7" s="1605">
        <f t="shared" ca="1" si="1"/>
        <v>0</v>
      </c>
      <c r="W7" s="1819" t="s">
        <v>2836</v>
      </c>
      <c r="X7" s="1607" t="str">
        <f>G2</f>
        <v>二级</v>
      </c>
      <c r="Y7" s="1607" t="s">
        <v>2837</v>
      </c>
      <c r="Z7" s="1608">
        <f>G3</f>
        <v>2.72</v>
      </c>
      <c r="AA7" s="1609"/>
      <c r="AB7" s="1609"/>
      <c r="AC7" s="1610"/>
      <c r="AD7" s="1611"/>
      <c r="AE7" s="1611"/>
      <c r="AF7" s="1611"/>
      <c r="AG7" s="1611"/>
      <c r="AH7" s="1611"/>
      <c r="AI7" s="1611"/>
      <c r="AJ7" s="1612"/>
    </row>
    <row r="8" spans="1:36" ht="25.5" hidden="1">
      <c r="A8" s="3273"/>
      <c r="B8" s="198" t="s">
        <v>2838</v>
      </c>
      <c r="C8" s="2751" t="s">
        <v>3113</v>
      </c>
      <c r="D8" s="920" t="s">
        <v>139</v>
      </c>
      <c r="E8" s="921">
        <f>ROUND(C11/E7,4)</f>
        <v>0</v>
      </c>
      <c r="F8" s="2752" t="s">
        <v>2839</v>
      </c>
      <c r="G8" s="2753"/>
      <c r="H8" s="2753"/>
      <c r="I8" s="2753"/>
      <c r="J8" s="2754"/>
      <c r="K8" s="1373"/>
      <c r="L8" s="2728"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5" t="s">
        <v>2841</v>
      </c>
      <c r="X8" s="3266"/>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hidden="1">
      <c r="A9" s="3273"/>
      <c r="B9" s="198" t="s">
        <v>2854</v>
      </c>
      <c r="C9" s="922">
        <f>SUMIF(修正!C59:C119,C8,修正!E59:E119)</f>
        <v>0</v>
      </c>
      <c r="D9" s="200" t="s">
        <v>140</v>
      </c>
      <c r="E9" s="200">
        <f>ROUND(C11/E7,4)</f>
        <v>0</v>
      </c>
      <c r="F9" s="2752" t="s">
        <v>2855</v>
      </c>
      <c r="G9" s="2753"/>
      <c r="H9" s="2753"/>
      <c r="I9" s="2753"/>
      <c r="J9" s="2754"/>
      <c r="K9" s="1373"/>
      <c r="L9" s="2728"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7"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73"/>
      <c r="B10" s="198" t="s">
        <v>2859</v>
      </c>
      <c r="C10" s="200">
        <f>SUMIF(修正!C59:C119,C8,修正!F59:F119)</f>
        <v>0</v>
      </c>
      <c r="D10" s="200" t="s">
        <v>141</v>
      </c>
      <c r="E10" s="200">
        <f>ROUND(C11/E7,4)</f>
        <v>0</v>
      </c>
      <c r="F10" s="2752" t="s">
        <v>2860</v>
      </c>
      <c r="G10" s="2753"/>
      <c r="H10" s="2753"/>
      <c r="I10" s="2753"/>
      <c r="J10" s="2754"/>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73"/>
      <c r="B11" s="2755" t="s">
        <v>2862</v>
      </c>
      <c r="C11" s="923">
        <f>C10/4</f>
        <v>0</v>
      </c>
      <c r="D11" s="923" t="s">
        <v>142</v>
      </c>
      <c r="E11" s="923">
        <f>ROUND(C11/E7,4)</f>
        <v>0</v>
      </c>
      <c r="F11" s="2756" t="s">
        <v>2863</v>
      </c>
      <c r="G11" s="2757"/>
      <c r="H11" s="2757"/>
      <c r="I11" s="2757"/>
      <c r="J11" s="2758"/>
      <c r="K11" s="1373"/>
      <c r="L11" s="2728"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7" t="s">
        <v>2865</v>
      </c>
      <c r="X11" s="1617" t="s">
        <v>2866</v>
      </c>
      <c r="Y11" s="1618">
        <f>$G$3</f>
        <v>2.72</v>
      </c>
      <c r="Z11" s="1618">
        <f t="shared" ref="Z11:AJ11" si="3">$G$3</f>
        <v>2.72</v>
      </c>
      <c r="AA11" s="1618">
        <f t="shared" si="3"/>
        <v>2.72</v>
      </c>
      <c r="AB11" s="1618">
        <f t="shared" si="3"/>
        <v>2.72</v>
      </c>
      <c r="AC11" s="1618">
        <f t="shared" si="3"/>
        <v>2.72</v>
      </c>
      <c r="AD11" s="1618">
        <f t="shared" si="3"/>
        <v>2.72</v>
      </c>
      <c r="AE11" s="1618">
        <f t="shared" si="3"/>
        <v>2.72</v>
      </c>
      <c r="AF11" s="1618">
        <f t="shared" si="3"/>
        <v>2.72</v>
      </c>
      <c r="AG11" s="1618">
        <f t="shared" si="3"/>
        <v>2.72</v>
      </c>
      <c r="AH11" s="1618">
        <f t="shared" si="3"/>
        <v>2.72</v>
      </c>
      <c r="AI11" s="1618">
        <f t="shared" si="3"/>
        <v>2.72</v>
      </c>
      <c r="AJ11" s="1618">
        <f t="shared" si="3"/>
        <v>2.72</v>
      </c>
    </row>
    <row r="12" spans="1:36" ht="25.5" hidden="1" thickBot="1">
      <c r="A12" s="3272" t="s">
        <v>2867</v>
      </c>
      <c r="B12" s="2759" t="s">
        <v>2868</v>
      </c>
      <c r="C12" s="919">
        <f>ROUND(C15*D15*E15*F15*G15*H15*I15*J15,4)</f>
        <v>1.2</v>
      </c>
      <c r="D12" s="2760" t="s">
        <v>2869</v>
      </c>
      <c r="E12" s="2761"/>
      <c r="F12" s="2761"/>
      <c r="G12" s="2762"/>
      <c r="H12" s="2762"/>
      <c r="I12" s="2762"/>
      <c r="J12" s="2763"/>
      <c r="K12" s="1373"/>
      <c r="L12" s="2764"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7"/>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74"/>
      <c r="B13" s="2765" t="s">
        <v>2872</v>
      </c>
      <c r="C13" s="2766" t="s">
        <v>2873</v>
      </c>
      <c r="D13" s="1811" t="s">
        <v>2874</v>
      </c>
      <c r="E13" s="1811" t="s">
        <v>2875</v>
      </c>
      <c r="F13" s="30" t="s">
        <v>2876</v>
      </c>
      <c r="G13" s="2767" t="s">
        <v>2877</v>
      </c>
      <c r="H13" s="2767" t="s">
        <v>2877</v>
      </c>
      <c r="I13" s="2767" t="s">
        <v>2877</v>
      </c>
      <c r="J13" s="2768" t="s">
        <v>2877</v>
      </c>
      <c r="K13" s="1373"/>
      <c r="L13" s="1373"/>
      <c r="M13" s="1373"/>
      <c r="N13" s="1373"/>
      <c r="O13" s="1373"/>
      <c r="P13" s="1373"/>
      <c r="Q13" s="1373"/>
      <c r="R13" s="1605">
        <v>12</v>
      </c>
      <c r="S13" s="1606"/>
      <c r="T13" s="1605">
        <f t="shared" ca="1" si="0"/>
        <v>0</v>
      </c>
      <c r="U13" s="1606"/>
      <c r="V13" s="1605">
        <f t="shared" ca="1" si="1"/>
        <v>0</v>
      </c>
      <c r="W13" s="3267"/>
      <c r="X13" s="1619"/>
      <c r="Y13" s="1616">
        <f>(-0.163*(Y12^2)-0.59*Y12+7617)*(10^(-4))/Y11</f>
        <v>0.28003676470588235</v>
      </c>
      <c r="Z13" s="1616">
        <f t="shared" ref="Z13:AJ13" si="5">(-0.163*(Z12^2)-0.59*Z12+7617)*(10^(-4))/Z11</f>
        <v>0.28003676470588235</v>
      </c>
      <c r="AA13" s="1616">
        <f t="shared" si="5"/>
        <v>0.28003676470588235</v>
      </c>
      <c r="AB13" s="1616">
        <f t="shared" si="5"/>
        <v>0.28003676470588235</v>
      </c>
      <c r="AC13" s="1616">
        <f t="shared" si="5"/>
        <v>0.28003676470588235</v>
      </c>
      <c r="AD13" s="1616">
        <f t="shared" si="5"/>
        <v>0.28003676470588235</v>
      </c>
      <c r="AE13" s="1616">
        <f t="shared" si="5"/>
        <v>0.28003676470588235</v>
      </c>
      <c r="AF13" s="1616">
        <f t="shared" si="5"/>
        <v>0.28003676470588235</v>
      </c>
      <c r="AG13" s="1616">
        <f t="shared" si="5"/>
        <v>0.28003676470588235</v>
      </c>
      <c r="AH13" s="1616">
        <f t="shared" si="5"/>
        <v>0.28003676470588235</v>
      </c>
      <c r="AI13" s="1616">
        <f t="shared" si="5"/>
        <v>0.28003676470588235</v>
      </c>
      <c r="AJ13" s="1616">
        <f t="shared" si="5"/>
        <v>0.28003676470588235</v>
      </c>
    </row>
    <row r="14" spans="1:36" ht="15" hidden="1">
      <c r="A14" s="3274"/>
      <c r="B14" s="2769"/>
      <c r="C14" s="2770" t="s">
        <v>3114</v>
      </c>
      <c r="D14" s="2771" t="s">
        <v>3114</v>
      </c>
      <c r="E14" s="2771" t="s">
        <v>3114</v>
      </c>
      <c r="F14" s="2772" t="s">
        <v>3115</v>
      </c>
      <c r="G14" s="2773" t="s">
        <v>2878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75"/>
      <c r="B15" s="2777" t="s">
        <v>2879</v>
      </c>
      <c r="C15" s="229">
        <f>IF(C14="有",1.1,1)</f>
        <v>1</v>
      </c>
      <c r="D15" s="229">
        <f>IF(D14="有",1.1,1)</f>
        <v>1</v>
      </c>
      <c r="E15" s="229">
        <f>IF(E14="有",1.1,1)</f>
        <v>1</v>
      </c>
      <c r="F15" s="229">
        <f>IF(F14="500米范围内",1.2,IF(F14="500-1000米",1.1,1))</f>
        <v>1.2</v>
      </c>
      <c r="G15" s="949">
        <v>1</v>
      </c>
      <c r="H15" s="949">
        <v>1</v>
      </c>
      <c r="I15" s="949">
        <v>1</v>
      </c>
      <c r="J15" s="950">
        <v>1</v>
      </c>
      <c r="K15" s="1373"/>
      <c r="L15" s="2778" t="s">
        <v>2815</v>
      </c>
      <c r="M15" s="920" t="s">
        <v>2880</v>
      </c>
      <c r="N15" s="920" t="s">
        <v>2881</v>
      </c>
      <c r="O15" s="920" t="s">
        <v>2882</v>
      </c>
      <c r="P15" s="2779"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72" t="s">
        <v>2884</v>
      </c>
      <c r="B16" s="2746" t="s">
        <v>2885</v>
      </c>
      <c r="C16" s="1804">
        <f>ROUND(SUM(G17:J17)/C17,0)</f>
        <v>0</v>
      </c>
      <c r="D16" s="2780" t="s">
        <v>2886</v>
      </c>
      <c r="E16" s="2781" t="s">
        <v>3116</v>
      </c>
      <c r="F16" s="2782" t="s">
        <v>3117</v>
      </c>
      <c r="G16" s="2783"/>
      <c r="H16" s="2783"/>
      <c r="I16" s="2783"/>
      <c r="J16" s="2784"/>
      <c r="K16" s="1373"/>
      <c r="L16" s="2785"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73"/>
      <c r="B17" s="2786" t="s">
        <v>2888</v>
      </c>
      <c r="C17" s="924">
        <f>SUMPRODUCT((修正!A2:A5=E2)*(修正!B1:M1=G2)*(修正!B2:M5))</f>
        <v>3.5</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2"/>
      <c r="AH17" s="2722"/>
      <c r="AI17" s="2722"/>
      <c r="AJ17" s="2722"/>
    </row>
    <row r="18" spans="1:37" s="2739" customFormat="1" ht="15.75" thickBot="1">
      <c r="A18" s="2790" t="s">
        <v>808</v>
      </c>
      <c r="B18" s="2791" t="s">
        <v>2892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2893</v>
      </c>
      <c r="C19" s="927">
        <f>ROUND(IF(H19="按公示增长率计算",SUMPRODUCT((地价!A3:A21=YEAR(G19)&amp;"-"&amp;ROUNDUP(MONTH(G19)/3,0))*(地价!X2:AB2=E2)*(地价!X3:AB21)),IF(H19="地价指数",M20/M19,(1+I19)^O19)),4)</f>
        <v>1.2636000000000001</v>
      </c>
      <c r="D19" s="2798" t="s">
        <v>2894</v>
      </c>
      <c r="E19" s="928">
        <v>41640</v>
      </c>
      <c r="F19" s="2798" t="s">
        <v>2895</v>
      </c>
      <c r="G19" s="929">
        <f>'数据-取费表'!B2</f>
        <v>43119</v>
      </c>
      <c r="H19" s="2799" t="s">
        <v>3215</v>
      </c>
      <c r="I19" s="930" t="str">
        <f>IF(H19="季度增幅（自定义）",SUMIF(N21:N24,E2,O21:O24),"")</f>
        <v/>
      </c>
      <c r="J19" s="2796"/>
      <c r="K19" s="1380"/>
      <c r="L19" s="2800" t="s">
        <v>2896</v>
      </c>
      <c r="M19" s="1737">
        <f>ROUND(SUMIF(地价!B2:F2,E2,地价!B21:F21),0)</f>
        <v>258</v>
      </c>
      <c r="N19" s="2801"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2898</v>
      </c>
      <c r="C20" s="932">
        <f ca="1">ROUND(POWER(1+G20,J20-I20)*(POWER(1+G20,I20)-1)/(POWER(1+G20,J20)-1),4)</f>
        <v>0.82110000000000005</v>
      </c>
      <c r="D20" s="2807" t="s">
        <v>2899</v>
      </c>
      <c r="E20" s="1771">
        <f ca="1">存贷款利率!D4/100</f>
        <v>4.3499999999999997E-2</v>
      </c>
      <c r="F20" s="2807" t="s">
        <v>2891</v>
      </c>
      <c r="G20" s="937">
        <f ca="1">SUMIF(M15:P15,E2,M17:P17)</f>
        <v>5.3999999999999999E-2</v>
      </c>
      <c r="H20" s="2807" t="s">
        <v>2900</v>
      </c>
      <c r="I20" s="938">
        <f>SUMIF('数据-取费表'!C6:C15,E2,'数据-取费表'!F6:F15)/COUNTIF('数据-取费表'!C6:C15,E2)</f>
        <v>24.27</v>
      </c>
      <c r="J20" s="939">
        <f>IF(E2="住宅",70,IF(E2="商业",40,50))</f>
        <v>40</v>
      </c>
      <c r="K20" s="1380"/>
      <c r="L20" s="2808" t="s">
        <v>2901</v>
      </c>
      <c r="M20" s="1738">
        <f>ROUND(SUMPRODUCT((地价!A4:A21=YEAR(G19)&amp;"-"&amp;ROUNDUP(MONTH(G19)/3,0))*(地价!B2:F2=E2)*(地价!B4:F21)),0)</f>
        <v>326</v>
      </c>
      <c r="N20" s="2809" t="s">
        <v>2902</v>
      </c>
      <c r="O20" s="2810" t="s">
        <v>2903</v>
      </c>
      <c r="P20" s="2811" t="s">
        <v>2904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3206</v>
      </c>
      <c r="C21" s="940">
        <f>IF(B21="容积率修正",IF(G3&lt;=10,D22,J22),C23)</f>
        <v>0.7591</v>
      </c>
      <c r="D21" s="2814"/>
      <c r="E21" s="2814"/>
      <c r="F21" s="2814"/>
      <c r="G21" s="2814"/>
      <c r="H21" s="2814"/>
      <c r="I21" s="2814"/>
      <c r="J21" s="2815"/>
      <c r="K21" s="1380"/>
      <c r="N21" s="2816"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6" t="s">
        <v>2906</v>
      </c>
      <c r="B22" s="2817" t="s">
        <v>2907</v>
      </c>
      <c r="C22" s="1813" t="s">
        <v>2908</v>
      </c>
      <c r="D22" s="1813">
        <f>IF(E22=G22,F22,IF(G3&lt;=10,ROUND(F22+(H22-F22)*(G3-E22)/(G22-E22),4),"——"))</f>
        <v>1.0692999999999999</v>
      </c>
      <c r="E22" s="916">
        <f>ROUNDDOWN(G3,1)</f>
        <v>2.7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916">
        <f>ROUNDUP(G3,1)</f>
        <v>2.8000000000000003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813" t="s">
        <v>155</v>
      </c>
      <c r="J22" s="941" t="str">
        <f>IF(G3&gt;10,D113,"——")</f>
        <v>——</v>
      </c>
      <c r="K22" s="1380"/>
      <c r="N22" s="2816"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8" t="s">
        <v>2911</v>
      </c>
      <c r="C23" s="1016">
        <f>ROUND(IF(G3&gt;1,IF(I3&lt;7,SUMPRODUCT((B93:B98=I3)*(C92:N92=G2)*(C93:N98)),SUMIF(C92:N92,G2,C100:N100)),IF(I3&lt;7,SUMPRODUCT((B102:B107=I3)*(C92:N92=G2)*(C102:N107)),SUMIF(C92:N92,G2,C109:N109))),4)</f>
        <v>0.7591</v>
      </c>
      <c r="D23" s="2774"/>
      <c r="E23" s="2774"/>
      <c r="F23" s="2819"/>
      <c r="G23" s="2820"/>
      <c r="H23" s="2821"/>
      <c r="I23" s="2822"/>
      <c r="J23" s="2823"/>
      <c r="K23" s="1373"/>
      <c r="N23" s="2816"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2913</v>
      </c>
      <c r="C24" s="927">
        <f>SUMIF(A45:A88,E2,B45:B88)</f>
        <v>1.0871999999999999</v>
      </c>
      <c r="D24" s="2794"/>
      <c r="E24" s="2824"/>
      <c r="F24" s="2824"/>
      <c r="G24" s="2824"/>
      <c r="H24" s="2824"/>
      <c r="I24" s="2824"/>
      <c r="J24" s="2825"/>
      <c r="K24" s="1380"/>
      <c r="N24" s="2826"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2915</v>
      </c>
      <c r="C25" s="933"/>
      <c r="D25" s="2749"/>
      <c r="E25" s="2749"/>
      <c r="F25" s="2828"/>
      <c r="G25" s="2749"/>
      <c r="H25" s="2749"/>
      <c r="I25" s="2749"/>
      <c r="J25" s="2750"/>
      <c r="K25" s="1373"/>
      <c r="N25" s="2829"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2917</v>
      </c>
      <c r="C26" s="206">
        <f ca="1">E29+SUM(E33:E39)</f>
        <v>26631</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2918</v>
      </c>
      <c r="C27" s="934">
        <f ca="1">E30+SUM(I33:I39)</f>
        <v>6658</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2919</v>
      </c>
      <c r="C28" s="2841" t="s">
        <v>2920</v>
      </c>
      <c r="D28" s="2841" t="s">
        <v>2921</v>
      </c>
      <c r="E28" s="2842" t="s">
        <v>2922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2923</v>
      </c>
      <c r="C29" s="206">
        <f ca="1">ROUND(C5*C18*C19*C20*C21*C24,0)</f>
        <v>20063</v>
      </c>
      <c r="D29" s="2846"/>
      <c r="E29" s="945">
        <f ca="1">ROUND(C29*D29/10000,0)</f>
        <v>0</v>
      </c>
      <c r="F29" s="2847" t="s">
        <v>2924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2"/>
      <c r="AH29" s="2722"/>
      <c r="AI29" s="2722"/>
      <c r="AJ29" s="2722"/>
    </row>
    <row r="30" spans="1:37" ht="25.5" thickBot="1">
      <c r="A30" s="2850"/>
      <c r="B30" s="2851" t="s">
        <v>2925</v>
      </c>
      <c r="C30" s="229">
        <f ca="1">ROUND(IF(E2="工业",C29*M39,C29*M38),0)</f>
        <v>5016</v>
      </c>
      <c r="D30" s="2852"/>
      <c r="E30" s="945">
        <f ca="1">ROUND(C30*D30/10000,0)</f>
        <v>0</v>
      </c>
      <c r="F30" s="2853" t="s">
        <v>2926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2"/>
      <c r="AH30" s="2722"/>
      <c r="AI30" s="2722"/>
      <c r="AJ30" s="2722"/>
    </row>
    <row r="31" spans="1:37" ht="14.25">
      <c r="A31" s="2856"/>
      <c r="B31" s="2857" t="s">
        <v>2927</v>
      </c>
      <c r="C31" s="2858" t="s">
        <v>2928</v>
      </c>
      <c r="D31" s="2762"/>
      <c r="E31" s="2858"/>
      <c r="F31" s="2858"/>
      <c r="G31" s="2760" t="s">
        <v>2929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2"/>
      <c r="AH31" s="2722"/>
      <c r="AI31" s="2722"/>
      <c r="AJ31" s="2722"/>
    </row>
    <row r="32" spans="1:37" ht="24">
      <c r="A32" s="2844"/>
      <c r="B32" s="2860"/>
      <c r="C32" s="501" t="s">
        <v>2920</v>
      </c>
      <c r="D32" s="498" t="s">
        <v>2921</v>
      </c>
      <c r="E32" s="498" t="s">
        <v>2922</v>
      </c>
      <c r="F32" s="388" t="s">
        <v>2930</v>
      </c>
      <c r="G32" s="2861" t="s">
        <v>2920</v>
      </c>
      <c r="H32" s="2861" t="s">
        <v>2921</v>
      </c>
      <c r="I32" s="2861"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2"/>
      <c r="AH32" s="2722"/>
      <c r="AI32" s="2722"/>
      <c r="AJ32" s="2722"/>
    </row>
    <row r="33" spans="1:37" ht="36" customHeight="1">
      <c r="A33" s="3282" t="s">
        <v>2931</v>
      </c>
      <c r="B33" s="2862" t="s">
        <v>2932</v>
      </c>
      <c r="C33" s="206">
        <f ca="1">ROUND(D5*C19*C20*C24*F33,0)</f>
        <v>21144</v>
      </c>
      <c r="D33" s="2846"/>
      <c r="E33" s="200">
        <f ca="1">ROUND(C33*D33/10000,0)</f>
        <v>0</v>
      </c>
      <c r="F33" s="200">
        <f>SUMIF(修正!A45:A56,G2,修正!B45:B56)</f>
        <v>0.8</v>
      </c>
      <c r="G33" s="200">
        <f t="shared" ref="G33:G39" ca="1" si="6">ROUND(IF(E2="工业",C33*$M$39,C33*$M$38),0)</f>
        <v>5286</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3"/>
      <c r="B34" s="2766" t="s">
        <v>2933</v>
      </c>
      <c r="C34" s="206">
        <f ca="1">ROUND(D5*C19*C20*C24*F34,0)</f>
        <v>13215</v>
      </c>
      <c r="D34" s="2846"/>
      <c r="E34" s="200">
        <f t="shared" ref="E34:E39" ca="1" si="7">ROUND(C34*D34/10000,0)</f>
        <v>0</v>
      </c>
      <c r="F34" s="200">
        <f>SUMIF(修正!A45:A56,G2,修正!C45:C56)</f>
        <v>0.5</v>
      </c>
      <c r="G34" s="200">
        <f t="shared" ca="1" si="6"/>
        <v>3304</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3"/>
      <c r="B35" s="2766" t="s">
        <v>2934</v>
      </c>
      <c r="C35" s="206">
        <f ca="1">ROUND(D5*C19*C20*C24*F35,0)</f>
        <v>9515</v>
      </c>
      <c r="D35" s="2846"/>
      <c r="E35" s="200">
        <f t="shared" ca="1" si="7"/>
        <v>0</v>
      </c>
      <c r="F35" s="200">
        <f>SUMIF(修正!A45:A56,G2,修正!D45:D56)</f>
        <v>0.36</v>
      </c>
      <c r="G35" s="200">
        <f t="shared" ca="1" si="6"/>
        <v>2379</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84"/>
      <c r="B36" s="2766" t="s">
        <v>2935</v>
      </c>
      <c r="C36" s="206">
        <f ca="1">ROUND(D5*C19*C20*C24*F36,0)</f>
        <v>7929</v>
      </c>
      <c r="D36" s="2846"/>
      <c r="E36" s="200">
        <f t="shared" ca="1" si="7"/>
        <v>0</v>
      </c>
      <c r="F36" s="200">
        <f>SUMIF(修正!A45:A56,G2,修正!E45:E56)</f>
        <v>0.3</v>
      </c>
      <c r="G36" s="200">
        <f t="shared" ca="1" si="6"/>
        <v>1982</v>
      </c>
      <c r="H36" s="200">
        <f t="shared" si="8"/>
        <v>0</v>
      </c>
      <c r="I36" s="200">
        <f t="shared" ca="1" si="9"/>
        <v>0</v>
      </c>
      <c r="J36" s="2863"/>
      <c r="K36" s="1373"/>
      <c r="L36" s="2721"/>
      <c r="M36" s="2721"/>
      <c r="N36" s="1373"/>
      <c r="O36" s="1373"/>
      <c r="P36" s="1373"/>
      <c r="Q36" s="1373"/>
      <c r="R36" s="1373"/>
      <c r="S36" s="1373"/>
      <c r="T36" s="1373"/>
      <c r="U36" s="1373"/>
      <c r="V36" s="1373"/>
      <c r="W36" s="1373"/>
      <c r="X36" s="1373"/>
      <c r="Y36" s="1373"/>
      <c r="Z36" s="1374"/>
    </row>
    <row r="37" spans="1:37">
      <c r="A37" s="2864"/>
      <c r="B37" s="2766" t="s">
        <v>2936</v>
      </c>
      <c r="C37" s="200">
        <f ca="1">ROUND(C5*C19*C20*C24*F37,0)</f>
        <v>7929</v>
      </c>
      <c r="D37" s="2846"/>
      <c r="E37" s="200">
        <f t="shared" ca="1" si="7"/>
        <v>0</v>
      </c>
      <c r="F37" s="206">
        <f>SUMIF(修正!A45:A56,G2,修正!F45:F56)</f>
        <v>0.3</v>
      </c>
      <c r="G37" s="200">
        <f t="shared" ca="1" si="6"/>
        <v>1982</v>
      </c>
      <c r="H37" s="200">
        <f t="shared" si="8"/>
        <v>0</v>
      </c>
      <c r="I37" s="200">
        <f t="shared" ca="1" si="9"/>
        <v>0</v>
      </c>
      <c r="J37" s="2863"/>
      <c r="K37" s="1373"/>
      <c r="L37" s="2865" t="s">
        <v>2937</v>
      </c>
      <c r="M37" s="2866"/>
      <c r="N37" s="1373"/>
      <c r="O37" s="1373"/>
      <c r="P37" s="1373"/>
      <c r="Q37" s="1373"/>
      <c r="R37" s="1373"/>
      <c r="S37" s="1373"/>
      <c r="T37" s="1373"/>
      <c r="U37" s="1373"/>
      <c r="V37" s="1373"/>
      <c r="W37" s="1373"/>
      <c r="X37" s="1373"/>
      <c r="Y37" s="1373"/>
      <c r="Z37" s="1374"/>
    </row>
    <row r="38" spans="1:37">
      <c r="A38" s="2864"/>
      <c r="B38" s="2766" t="s">
        <v>2938</v>
      </c>
      <c r="C38" s="200">
        <f ca="1">ROUND(C5*C19*C20*C24*F38,0)</f>
        <v>7929</v>
      </c>
      <c r="D38" s="2846">
        <f>'数据-汇总表'!G20</f>
        <v>13672.09</v>
      </c>
      <c r="E38" s="200">
        <f t="shared" ca="1" si="7"/>
        <v>10841</v>
      </c>
      <c r="F38" s="206">
        <f>SUMIF(修正!A45:A56,G2,修正!G45:G56)</f>
        <v>0.3</v>
      </c>
      <c r="G38" s="200">
        <f t="shared" ca="1" si="6"/>
        <v>1982</v>
      </c>
      <c r="H38" s="200">
        <f t="shared" si="8"/>
        <v>13672.09</v>
      </c>
      <c r="I38" s="200">
        <f t="shared" ca="1" si="9"/>
        <v>2710</v>
      </c>
      <c r="J38" s="2863"/>
      <c r="K38" s="1373"/>
      <c r="L38" s="1890" t="s">
        <v>2939</v>
      </c>
      <c r="M38" s="2867">
        <v>0.25</v>
      </c>
      <c r="N38" s="1373"/>
      <c r="O38" s="1373"/>
      <c r="P38" s="1373"/>
      <c r="Q38" s="1373"/>
      <c r="R38" s="1373"/>
      <c r="S38" s="1373"/>
      <c r="T38" s="1373"/>
      <c r="U38" s="1373"/>
      <c r="V38" s="1373"/>
      <c r="W38" s="1373"/>
      <c r="X38" s="1373"/>
      <c r="Y38" s="1373"/>
      <c r="Z38" s="1374"/>
    </row>
    <row r="39" spans="1:37" ht="13.5" thickBot="1">
      <c r="A39" s="2850"/>
      <c r="B39" s="2868" t="s">
        <v>2940</v>
      </c>
      <c r="C39" s="229">
        <f ca="1">ROUND(C5*C19*C20*C24*F39,0)</f>
        <v>6607</v>
      </c>
      <c r="D39" s="2852">
        <f>'数据-汇总表'!G21</f>
        <v>23898.16</v>
      </c>
      <c r="E39" s="229">
        <f t="shared" ca="1" si="7"/>
        <v>15790</v>
      </c>
      <c r="F39" s="935">
        <f>SUMIF(修正!A45:A56,G2,修正!H45:H56)</f>
        <v>0.25</v>
      </c>
      <c r="G39" s="229">
        <f t="shared" ca="1" si="6"/>
        <v>1652</v>
      </c>
      <c r="H39" s="229">
        <f t="shared" si="8"/>
        <v>23898.16</v>
      </c>
      <c r="I39" s="229">
        <f t="shared" ca="1" si="9"/>
        <v>3948</v>
      </c>
      <c r="J39" s="2869"/>
      <c r="K39" s="1373"/>
      <c r="L39" s="2870" t="s">
        <v>2883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2942</v>
      </c>
      <c r="B46" s="2876">
        <f>1+E48</f>
        <v>1.0871999999999999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2943</v>
      </c>
      <c r="B47" s="1812" t="s">
        <v>2944</v>
      </c>
      <c r="C47" s="1812" t="s">
        <v>2945</v>
      </c>
      <c r="D47" s="1812" t="s">
        <v>2946</v>
      </c>
      <c r="E47" s="819" t="s">
        <v>2947</v>
      </c>
      <c r="F47" s="2880" t="s">
        <v>2948</v>
      </c>
      <c r="G47" s="1812" t="s">
        <v>754</v>
      </c>
      <c r="H47" s="2881"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9" t="s">
        <v>2951</v>
      </c>
      <c r="B48" s="2882" t="str">
        <f>估价对象房地状况!C4</f>
        <v>估价对象位于XX商圈，周边商业氛围成熟，人流量大，商业繁华度好</v>
      </c>
      <c r="C48" s="2952" t="s">
        <v>3118</v>
      </c>
      <c r="D48" s="1289">
        <f t="shared" ref="D48:D56" si="10">SUMIF($J$47:$N$47,C48,J48:N48)</f>
        <v>3.2599999999999997E-2</v>
      </c>
      <c r="E48" s="821">
        <f>ROUND(SUM(D48:D56),4)</f>
        <v>8.72E-2</v>
      </c>
      <c r="F48" s="2503">
        <f>IF(E2="商业",SUMIF(L1:L12,G2,N1:N12),"——")</f>
        <v>9.9000000000000005E-2</v>
      </c>
      <c r="G48" s="2962">
        <f t="shared" ref="G48:G56" si="11">H48</f>
        <v>1.6299999999999999E-2</v>
      </c>
      <c r="H48" s="1291">
        <f t="shared" ref="H48:H56" si="12">IFERROR(ROUNDDOWN($F$48*I48/2,4),"——")</f>
        <v>1.6299999999999999E-2</v>
      </c>
      <c r="I48" s="820">
        <v>0.33</v>
      </c>
      <c r="J48" s="1288">
        <f t="shared" ref="J48:J56" si="13">K48+$G48</f>
        <v>3.2599999999999997E-2</v>
      </c>
      <c r="K48" s="1288">
        <f t="shared" ref="K48:K56" si="14">$L48+$G48</f>
        <v>1.6299999999999999E-2</v>
      </c>
      <c r="L48" s="1288">
        <v>0</v>
      </c>
      <c r="M48" s="1288">
        <f t="shared" ref="M48:N56" si="15">L48-$G48</f>
        <v>-1.6299999999999999E-2</v>
      </c>
      <c r="N48" s="1288">
        <f t="shared" si="15"/>
        <v>-3.2599999999999997E-2</v>
      </c>
      <c r="AA48" s="1374"/>
      <c r="AB48" s="1374"/>
      <c r="AC48" s="1374"/>
      <c r="AD48" s="1374"/>
      <c r="AE48" s="1374"/>
      <c r="AF48" s="1374"/>
      <c r="AG48" s="1374"/>
      <c r="AH48" s="1374"/>
      <c r="AI48" s="1374"/>
      <c r="AJ48" s="1374"/>
      <c r="AK48" s="1374"/>
    </row>
    <row r="49" spans="1:37" s="1373" customFormat="1" ht="51">
      <c r="A49" s="2879" t="s">
        <v>2952</v>
      </c>
      <c r="B49" s="2883" t="str">
        <f>估价对象房地状况!C18</f>
        <v>估价对象周边道路状况、公共交通通达情况、停车便捷程度，综合评价交通便捷度较好</v>
      </c>
      <c r="C49" s="2952" t="s">
        <v>3118</v>
      </c>
      <c r="D49" s="1289">
        <f t="shared" si="10"/>
        <v>2.46E-2</v>
      </c>
      <c r="E49" s="822"/>
      <c r="F49" s="2503"/>
      <c r="G49" s="2962">
        <f t="shared" si="11"/>
        <v>1.23E-2</v>
      </c>
      <c r="H49" s="1291">
        <f t="shared" si="12"/>
        <v>1.23E-2</v>
      </c>
      <c r="I49" s="820">
        <v>0.25</v>
      </c>
      <c r="J49" s="1288">
        <f t="shared" si="13"/>
        <v>2.46E-2</v>
      </c>
      <c r="K49" s="1288">
        <f t="shared" si="14"/>
        <v>1.23E-2</v>
      </c>
      <c r="L49" s="1288">
        <v>0</v>
      </c>
      <c r="M49" s="1288">
        <f t="shared" si="15"/>
        <v>-1.23E-2</v>
      </c>
      <c r="N49" s="1288">
        <f t="shared" si="15"/>
        <v>-2.46E-2</v>
      </c>
      <c r="AA49" s="1374"/>
      <c r="AB49" s="1374"/>
      <c r="AC49" s="1374"/>
      <c r="AD49" s="1374"/>
      <c r="AE49" s="1374"/>
      <c r="AF49" s="1374"/>
      <c r="AG49" s="1374"/>
      <c r="AH49" s="1374"/>
      <c r="AI49" s="1374"/>
      <c r="AJ49" s="1374"/>
      <c r="AK49" s="1374"/>
    </row>
    <row r="50" spans="1:37" s="1373" customFormat="1" ht="24">
      <c r="A50" s="2879" t="s">
        <v>2953</v>
      </c>
      <c r="B50" s="2883">
        <f>估价对象房地状况!C19</f>
        <v>0</v>
      </c>
      <c r="C50" s="2952" t="s">
        <v>3119</v>
      </c>
      <c r="D50" s="1289">
        <f t="shared" si="10"/>
        <v>2.3999999999999998E-3</v>
      </c>
      <c r="E50" s="822"/>
      <c r="F50" s="2503"/>
      <c r="G50" s="2962">
        <f t="shared" si="11"/>
        <v>2.3999999999999998E-3</v>
      </c>
      <c r="H50" s="1291">
        <f t="shared" si="12"/>
        <v>2.3999999999999998E-3</v>
      </c>
      <c r="I50" s="820">
        <v>0.05</v>
      </c>
      <c r="J50" s="1288">
        <f t="shared" si="13"/>
        <v>4.7999999999999996E-3</v>
      </c>
      <c r="K50" s="1288">
        <f t="shared" si="14"/>
        <v>2.3999999999999998E-3</v>
      </c>
      <c r="L50" s="1288">
        <v>0</v>
      </c>
      <c r="M50" s="1288">
        <f t="shared" si="15"/>
        <v>-2.3999999999999998E-3</v>
      </c>
      <c r="N50" s="1288">
        <f t="shared" si="15"/>
        <v>-4.7999999999999996E-3</v>
      </c>
      <c r="AA50" s="1374"/>
      <c r="AB50" s="1374"/>
      <c r="AC50" s="1374"/>
      <c r="AD50" s="1374"/>
      <c r="AE50" s="1374"/>
      <c r="AF50" s="1374"/>
      <c r="AG50" s="1374"/>
      <c r="AH50" s="1374"/>
      <c r="AI50" s="1374"/>
      <c r="AJ50" s="1374"/>
      <c r="AK50" s="1374"/>
    </row>
    <row r="51" spans="1:37" s="1373" customFormat="1" ht="36.75">
      <c r="A51" s="2879" t="s">
        <v>2954</v>
      </c>
      <c r="B51" s="2884" t="s">
        <v>2955</v>
      </c>
      <c r="C51" s="2952" t="s">
        <v>3119</v>
      </c>
      <c r="D51" s="1289">
        <f t="shared" si="10"/>
        <v>2.3999999999999998E-3</v>
      </c>
      <c r="E51" s="822"/>
      <c r="F51" s="2503"/>
      <c r="G51" s="2962">
        <f t="shared" si="11"/>
        <v>2.3999999999999998E-3</v>
      </c>
      <c r="H51" s="1291">
        <f t="shared" si="12"/>
        <v>2.3999999999999998E-3</v>
      </c>
      <c r="I51" s="820">
        <v>0.05</v>
      </c>
      <c r="J51" s="1288">
        <f t="shared" si="13"/>
        <v>4.7999999999999996E-3</v>
      </c>
      <c r="K51" s="1288">
        <f t="shared" si="14"/>
        <v>2.3999999999999998E-3</v>
      </c>
      <c r="L51" s="1288">
        <v>0</v>
      </c>
      <c r="M51" s="1288">
        <f t="shared" si="15"/>
        <v>-2.3999999999999998E-3</v>
      </c>
      <c r="N51" s="1288">
        <f t="shared" si="15"/>
        <v>-4.7999999999999996E-3</v>
      </c>
      <c r="AA51" s="1374"/>
      <c r="AB51" s="1374"/>
      <c r="AC51" s="1374"/>
      <c r="AD51" s="1374"/>
      <c r="AE51" s="1374"/>
      <c r="AF51" s="1374"/>
      <c r="AG51" s="1374"/>
      <c r="AH51" s="1374"/>
      <c r="AI51" s="1374"/>
      <c r="AJ51" s="1374"/>
      <c r="AK51" s="1374"/>
    </row>
    <row r="52" spans="1:37" s="1373" customFormat="1" ht="24">
      <c r="A52" s="2879" t="s">
        <v>2956</v>
      </c>
      <c r="B52" s="2883">
        <f>估价对象房地状况!C24</f>
        <v>0</v>
      </c>
      <c r="C52" s="2952" t="s">
        <v>3118</v>
      </c>
      <c r="D52" s="1289">
        <f t="shared" si="10"/>
        <v>7.7999999999999996E-3</v>
      </c>
      <c r="E52" s="822"/>
      <c r="F52" s="2503"/>
      <c r="G52" s="2962">
        <f t="shared" si="11"/>
        <v>3.8999999999999998E-3</v>
      </c>
      <c r="H52" s="1291">
        <f t="shared" si="12"/>
        <v>3.8999999999999998E-3</v>
      </c>
      <c r="I52" s="820">
        <v>0.08</v>
      </c>
      <c r="J52" s="1288">
        <f t="shared" si="13"/>
        <v>7.7999999999999996E-3</v>
      </c>
      <c r="K52" s="1288">
        <f t="shared" si="14"/>
        <v>3.8999999999999998E-3</v>
      </c>
      <c r="L52" s="1288">
        <v>0</v>
      </c>
      <c r="M52" s="1288">
        <f t="shared" si="15"/>
        <v>-3.8999999999999998E-3</v>
      </c>
      <c r="N52" s="1288">
        <f t="shared" si="15"/>
        <v>-7.7999999999999996E-3</v>
      </c>
      <c r="AA52" s="1374"/>
      <c r="AB52" s="1374"/>
      <c r="AC52" s="1374"/>
      <c r="AD52" s="1374"/>
      <c r="AE52" s="1374"/>
      <c r="AF52" s="1374"/>
      <c r="AG52" s="1374"/>
      <c r="AH52" s="1374"/>
      <c r="AI52" s="1374"/>
      <c r="AJ52" s="1374"/>
      <c r="AK52" s="1374"/>
    </row>
    <row r="53" spans="1:37" s="1373" customFormat="1" ht="24">
      <c r="A53" s="2879" t="s">
        <v>2957</v>
      </c>
      <c r="B53" s="2885" t="s">
        <v>2958</v>
      </c>
      <c r="C53" s="2952" t="s">
        <v>3118</v>
      </c>
      <c r="D53" s="1289">
        <f t="shared" si="10"/>
        <v>2.8E-3</v>
      </c>
      <c r="E53" s="822"/>
      <c r="F53" s="2503"/>
      <c r="G53" s="2962">
        <f t="shared" si="11"/>
        <v>1.4E-3</v>
      </c>
      <c r="H53" s="1291">
        <f t="shared" si="12"/>
        <v>1.4E-3</v>
      </c>
      <c r="I53" s="820">
        <v>0.03</v>
      </c>
      <c r="J53" s="1288">
        <f t="shared" si="13"/>
        <v>2.8E-3</v>
      </c>
      <c r="K53" s="1288">
        <f t="shared" si="14"/>
        <v>1.4E-3</v>
      </c>
      <c r="L53" s="1288">
        <v>0</v>
      </c>
      <c r="M53" s="1288">
        <f t="shared" si="15"/>
        <v>-1.4E-3</v>
      </c>
      <c r="N53" s="1288">
        <f t="shared" si="15"/>
        <v>-2.8E-3</v>
      </c>
      <c r="AA53" s="1374"/>
      <c r="AB53" s="1374"/>
      <c r="AC53" s="1374"/>
      <c r="AD53" s="1374"/>
      <c r="AE53" s="1374"/>
      <c r="AF53" s="1374"/>
      <c r="AG53" s="1374"/>
      <c r="AH53" s="1374"/>
      <c r="AI53" s="1374"/>
      <c r="AJ53" s="1374"/>
      <c r="AK53" s="1374"/>
    </row>
    <row r="54" spans="1:37" s="1373" customFormat="1" ht="25.5">
      <c r="A54" s="2886" t="s">
        <v>2959</v>
      </c>
      <c r="B54" s="1728" t="str">
        <f>估价对象房地状况!C21</f>
        <v>估价对象所在区域公共配套设施齐备情况</v>
      </c>
      <c r="C54" s="2952" t="s">
        <v>3118</v>
      </c>
      <c r="D54" s="1289">
        <f t="shared" si="10"/>
        <v>4.7999999999999996E-3</v>
      </c>
      <c r="E54" s="822"/>
      <c r="F54" s="2503"/>
      <c r="G54" s="2962">
        <f t="shared" si="11"/>
        <v>2.3999999999999998E-3</v>
      </c>
      <c r="H54" s="1291">
        <f t="shared" si="12"/>
        <v>2.3999999999999998E-3</v>
      </c>
      <c r="I54" s="820">
        <v>0.05</v>
      </c>
      <c r="J54" s="1288">
        <f t="shared" si="13"/>
        <v>4.7999999999999996E-3</v>
      </c>
      <c r="K54" s="1288">
        <f t="shared" si="14"/>
        <v>2.3999999999999998E-3</v>
      </c>
      <c r="L54" s="1288">
        <v>0</v>
      </c>
      <c r="M54" s="1288">
        <f t="shared" si="15"/>
        <v>-2.3999999999999998E-3</v>
      </c>
      <c r="N54" s="1288">
        <f t="shared" si="15"/>
        <v>-4.7999999999999996E-3</v>
      </c>
      <c r="AA54" s="1374"/>
      <c r="AB54" s="1374"/>
      <c r="AC54" s="1374"/>
      <c r="AD54" s="1374"/>
      <c r="AE54" s="1374"/>
      <c r="AF54" s="1374"/>
      <c r="AG54" s="1374"/>
      <c r="AH54" s="1374"/>
      <c r="AI54" s="1374"/>
      <c r="AJ54" s="1374"/>
      <c r="AK54" s="1374"/>
    </row>
    <row r="55" spans="1:37" s="1373" customFormat="1" ht="25.5">
      <c r="A55" s="2886" t="s">
        <v>2960</v>
      </c>
      <c r="B55" s="2883" t="str">
        <f>估价对象房地状况!C22</f>
        <v>估价对象所在区域基础设施水平</v>
      </c>
      <c r="C55" s="2952" t="s">
        <v>3118</v>
      </c>
      <c r="D55" s="1289">
        <f t="shared" si="10"/>
        <v>9.7999999999999997E-3</v>
      </c>
      <c r="E55" s="822"/>
      <c r="F55" s="2503"/>
      <c r="G55" s="2962">
        <f t="shared" si="11"/>
        <v>4.8999999999999998E-3</v>
      </c>
      <c r="H55" s="1291">
        <f t="shared" si="12"/>
        <v>4.8999999999999998E-3</v>
      </c>
      <c r="I55" s="820">
        <v>0.1</v>
      </c>
      <c r="J55" s="1288">
        <f t="shared" si="13"/>
        <v>9.7999999999999997E-3</v>
      </c>
      <c r="K55" s="1288">
        <f t="shared" si="14"/>
        <v>4.8999999999999998E-3</v>
      </c>
      <c r="L55" s="1288">
        <v>0</v>
      </c>
      <c r="M55" s="1288">
        <f t="shared" si="15"/>
        <v>-4.8999999999999998E-3</v>
      </c>
      <c r="N55" s="1288">
        <f t="shared" si="15"/>
        <v>-9.7999999999999997E-3</v>
      </c>
      <c r="AA55" s="1374"/>
      <c r="AB55" s="1374"/>
      <c r="AC55" s="1374"/>
      <c r="AD55" s="1374"/>
      <c r="AE55" s="1374"/>
      <c r="AF55" s="1374"/>
      <c r="AG55" s="1374"/>
      <c r="AH55" s="1374"/>
      <c r="AI55" s="1374"/>
      <c r="AJ55" s="1374"/>
      <c r="AK55" s="1374"/>
    </row>
    <row r="56" spans="1:37" s="1373" customFormat="1" ht="39" thickBot="1">
      <c r="A56" s="2887" t="s">
        <v>2961</v>
      </c>
      <c r="B56" s="2888" t="str">
        <f>估价对象房地状况!C20</f>
        <v>区域自然环境：；人文环境；综合评价环境状况一般</v>
      </c>
      <c r="C56" s="2952" t="s">
        <v>3120</v>
      </c>
      <c r="D56" s="1289">
        <f t="shared" si="10"/>
        <v>0</v>
      </c>
      <c r="E56" s="825"/>
      <c r="F56" s="2503"/>
      <c r="G56" s="2962">
        <f t="shared" si="11"/>
        <v>2.8999999999999998E-3</v>
      </c>
      <c r="H56" s="1291">
        <f t="shared" si="12"/>
        <v>2.8999999999999998E-3</v>
      </c>
      <c r="I56" s="824">
        <v>0.06</v>
      </c>
      <c r="J56" s="1288">
        <f t="shared" si="13"/>
        <v>5.7999999999999996E-3</v>
      </c>
      <c r="K56" s="1288">
        <f t="shared" si="14"/>
        <v>2.8999999999999998E-3</v>
      </c>
      <c r="L56" s="1288">
        <v>0</v>
      </c>
      <c r="M56" s="1288">
        <f t="shared" si="15"/>
        <v>-2.8999999999999998E-3</v>
      </c>
      <c r="N56" s="1288">
        <f t="shared" si="15"/>
        <v>-5.7999999999999996E-3</v>
      </c>
      <c r="AA56" s="1374"/>
      <c r="AB56" s="1374"/>
      <c r="AC56" s="1374"/>
      <c r="AD56" s="1374"/>
      <c r="AE56" s="1374"/>
      <c r="AF56" s="1374"/>
      <c r="AG56" s="1374"/>
      <c r="AH56" s="1374"/>
      <c r="AI56" s="1374"/>
      <c r="AJ56" s="1374"/>
      <c r="AK56" s="1374"/>
    </row>
    <row r="57" spans="1:37" s="1373" customFormat="1" ht="15">
      <c r="A57" s="2875" t="s">
        <v>2962</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2943</v>
      </c>
      <c r="B58" s="1812"/>
      <c r="C58" s="1812" t="s">
        <v>2945</v>
      </c>
      <c r="D58" s="1812" t="s">
        <v>2946</v>
      </c>
      <c r="E58" s="819" t="s">
        <v>2947</v>
      </c>
      <c r="F58" s="2880" t="s">
        <v>2963</v>
      </c>
      <c r="G58" s="1812" t="s">
        <v>754</v>
      </c>
      <c r="H58" s="2881"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9" t="s">
        <v>2964</v>
      </c>
      <c r="B59" s="2882" t="str">
        <f>估价对象房地状况!C17</f>
        <v>估价对象位于XX商圈，周边办公楼项目较多，入驻率高，办公集聚程度较好</v>
      </c>
      <c r="C59" s="2771"/>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9" t="s">
        <v>2952</v>
      </c>
      <c r="B60" s="2883" t="str">
        <f>估价对象房地状况!C18</f>
        <v>估价对象周边道路状况、公共交通通达情况、停车便捷程度，综合评价交通便捷度较好</v>
      </c>
      <c r="C60" s="2771"/>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2953</v>
      </c>
      <c r="B61" s="2883">
        <f>估价对象房地状况!C19</f>
        <v>0</v>
      </c>
      <c r="C61" s="2771"/>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2954</v>
      </c>
      <c r="B62" s="2884" t="s">
        <v>2955</v>
      </c>
      <c r="C62" s="2771"/>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2956</v>
      </c>
      <c r="B63" s="2883">
        <f>估价对象房地状况!C24</f>
        <v>0</v>
      </c>
      <c r="C63" s="2771"/>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2957</v>
      </c>
      <c r="B64" s="2885" t="s">
        <v>2958</v>
      </c>
      <c r="C64" s="2771"/>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2959</v>
      </c>
      <c r="B65" s="1728" t="str">
        <f>估价对象房地状况!C21</f>
        <v>估价对象所在区域公共配套设施齐备情况</v>
      </c>
      <c r="C65" s="2771"/>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2960</v>
      </c>
      <c r="B66" s="1728" t="str">
        <f>估价对象房地状况!C22</f>
        <v>估价对象所在区域基础设施水平</v>
      </c>
      <c r="C66" s="2771"/>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87" t="s">
        <v>2961</v>
      </c>
      <c r="B67" s="2889" t="str">
        <f>估价对象房地状况!C20</f>
        <v>区域自然环境：；人文环境；综合评价环境状况一般</v>
      </c>
      <c r="C67" s="2771"/>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2965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2943</v>
      </c>
      <c r="B69" s="1812"/>
      <c r="C69" s="1812" t="s">
        <v>2945</v>
      </c>
      <c r="D69" s="1812" t="s">
        <v>2946</v>
      </c>
      <c r="E69" s="819" t="s">
        <v>2947</v>
      </c>
      <c r="F69" s="2880" t="s">
        <v>2963</v>
      </c>
      <c r="G69" s="1812" t="s">
        <v>754</v>
      </c>
      <c r="H69" s="2881"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9" t="s">
        <v>2966</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2952</v>
      </c>
      <c r="B71" s="2883" t="str">
        <f>估价对象房地状况!C18</f>
        <v>估价对象周边道路状况、公共交通通达情况、停车便捷程度，综合评价交通便捷度较好</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2953</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2967</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2959</v>
      </c>
      <c r="B74" s="1728" t="str">
        <f>估价对象房地状况!C21</f>
        <v>估价对象所在区域公共配套设施齐备情况</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79" t="s">
        <v>2960</v>
      </c>
      <c r="B75" s="1728" t="str">
        <f>估价对象房地状况!C22</f>
        <v>估价对象所在区域基础设施水平</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79" t="s">
        <v>2957</v>
      </c>
      <c r="B76" s="2885" t="s">
        <v>2958</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38.25">
      <c r="A77" s="2879" t="s">
        <v>2961</v>
      </c>
      <c r="B77" s="2882" t="str">
        <f>估价对象房地状况!C20</f>
        <v>区域自然环境：；人文环境；综合评价环境状况一般</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7"/>
      <c r="AG77" s="1375"/>
      <c r="AK77" s="2797"/>
    </row>
    <row r="78" spans="1:37" ht="24.75" thickBot="1">
      <c r="A78" s="2887" t="s">
        <v>2968</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7"/>
      <c r="AG78" s="1375"/>
      <c r="AK78" s="2797"/>
    </row>
    <row r="79" spans="1:37" ht="15">
      <c r="A79" s="2875" t="s">
        <v>2969</v>
      </c>
      <c r="B79" s="2876">
        <f>1+E81</f>
        <v>1</v>
      </c>
      <c r="C79" s="814"/>
      <c r="D79" s="814"/>
      <c r="E79" s="815"/>
      <c r="F79" s="2878"/>
      <c r="G79" s="6"/>
      <c r="H79" s="6"/>
      <c r="I79" s="6"/>
      <c r="J79" s="7"/>
      <c r="K79" s="7"/>
      <c r="L79" s="7"/>
      <c r="M79" s="7"/>
      <c r="N79" s="7"/>
      <c r="Z79" s="2722"/>
      <c r="AA79" s="2797"/>
      <c r="AG79" s="1375"/>
      <c r="AK79" s="2797"/>
    </row>
    <row r="80" spans="1:37" ht="24.75">
      <c r="A80" s="2879" t="s">
        <v>2943</v>
      </c>
      <c r="B80" s="1812"/>
      <c r="C80" s="1812" t="s">
        <v>2945</v>
      </c>
      <c r="D80" s="1812" t="s">
        <v>2946</v>
      </c>
      <c r="E80" s="819" t="s">
        <v>2947</v>
      </c>
      <c r="F80" s="2880" t="s">
        <v>2963</v>
      </c>
      <c r="G80" s="1812" t="s">
        <v>754</v>
      </c>
      <c r="H80" s="2881" t="s">
        <v>2949</v>
      </c>
      <c r="I80" s="1812" t="s">
        <v>2950</v>
      </c>
      <c r="J80" s="603" t="s">
        <v>2598</v>
      </c>
      <c r="K80" s="603" t="s">
        <v>2599</v>
      </c>
      <c r="L80" s="603" t="s">
        <v>2600</v>
      </c>
      <c r="M80" s="603" t="s">
        <v>2601</v>
      </c>
      <c r="N80" s="603" t="s">
        <v>2602</v>
      </c>
      <c r="Z80" s="2722"/>
      <c r="AA80" s="2797"/>
      <c r="AG80" s="1375"/>
      <c r="AK80" s="2797"/>
    </row>
    <row r="81" spans="1:37" ht="38.25">
      <c r="A81" s="2879" t="s">
        <v>2970</v>
      </c>
      <c r="B81" s="2883" t="str">
        <f>估价对象房地状况!G15</f>
        <v>估价对象位于XX开发区，园区建设成熟度XX，产业集聚程度XX</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7"/>
      <c r="AG81" s="1375"/>
      <c r="AK81" s="2797"/>
    </row>
    <row r="82" spans="1:37" ht="51">
      <c r="A82" s="2879" t="s">
        <v>2952</v>
      </c>
      <c r="B82" s="2883" t="str">
        <f>估价对象房地状况!G16</f>
        <v>估价对象周边道路状况、公共交通通达情况、停车便捷程度，综合评价交通便捷度较好</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7"/>
      <c r="AG82" s="1375"/>
      <c r="AK82" s="2797"/>
    </row>
    <row r="83" spans="1:37" ht="24">
      <c r="A83" s="2879" t="s">
        <v>2953</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7"/>
      <c r="AG83" s="1375"/>
      <c r="AK83" s="2797"/>
    </row>
    <row r="84" spans="1:37" ht="14.25">
      <c r="A84" s="2879" t="s">
        <v>2967</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7"/>
      <c r="AG84" s="1375"/>
      <c r="AK84" s="2797"/>
    </row>
    <row r="85" spans="1:37" ht="25.5">
      <c r="A85" s="2879" t="s">
        <v>2959</v>
      </c>
      <c r="B85" s="1728" t="str">
        <f>估价对象房地状况!G19</f>
        <v>估价对象所在区域公共配套设施齐备情况</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7"/>
      <c r="AG85" s="1375"/>
      <c r="AK85" s="2797"/>
    </row>
    <row r="86" spans="1:37" ht="25.5">
      <c r="A86" s="2879" t="s">
        <v>2960</v>
      </c>
      <c r="B86" s="1728" t="str">
        <f>估价对象房地状况!G20</f>
        <v>估价对象所在区域基础设施水平</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7"/>
      <c r="AG86" s="1375"/>
      <c r="AK86" s="2797"/>
    </row>
    <row r="87" spans="1:37" ht="24">
      <c r="A87" s="2879" t="s">
        <v>2957</v>
      </c>
      <c r="B87" s="2885" t="s">
        <v>2971</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7"/>
      <c r="AG87" s="1375"/>
      <c r="AK87" s="2797"/>
    </row>
    <row r="88" spans="1:37" ht="39" thickBot="1">
      <c r="A88" s="2887" t="s">
        <v>2972</v>
      </c>
      <c r="B88" s="2892" t="str">
        <f>估价对象房地状况!G18</f>
        <v>该园区内是否有污染型企业，绿化情况，卫生条件，整体环境状况判断</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7"/>
      <c r="AG88" s="1375"/>
      <c r="AK88" s="2797"/>
    </row>
    <row r="90" spans="1:37">
      <c r="A90" s="3276" t="s">
        <v>2973</v>
      </c>
      <c r="B90" s="3276"/>
      <c r="C90" s="3276"/>
      <c r="D90" s="3276"/>
      <c r="E90" s="3276"/>
      <c r="F90" s="3276"/>
      <c r="G90" s="3276"/>
      <c r="H90" s="3276"/>
      <c r="I90" s="3276"/>
      <c r="J90" s="3276"/>
      <c r="K90" s="2893"/>
      <c r="L90" s="2893"/>
      <c r="M90" s="2893"/>
      <c r="N90" s="2893"/>
    </row>
    <row r="91" spans="1:37">
      <c r="A91" s="3278" t="s">
        <v>2974</v>
      </c>
      <c r="B91" s="3278" t="s">
        <v>2975</v>
      </c>
      <c r="C91" s="2847" t="s">
        <v>2976</v>
      </c>
      <c r="D91" s="2848"/>
      <c r="E91" s="2848"/>
      <c r="F91" s="2848"/>
      <c r="G91" s="2848"/>
      <c r="H91" s="2848"/>
      <c r="I91" s="2848"/>
      <c r="J91" s="2894"/>
      <c r="K91" s="2895"/>
      <c r="L91" s="2895"/>
      <c r="M91" s="2895"/>
      <c r="N91" s="2895"/>
    </row>
    <row r="92" spans="1:37">
      <c r="A92" s="3278"/>
      <c r="B92" s="3278"/>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79" t="s">
        <v>2977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0"/>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0"/>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0"/>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0"/>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0"/>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0"/>
      <c r="B99" s="2896" t="s">
        <v>2858</v>
      </c>
      <c r="C99" s="2898">
        <f>$I$3</f>
        <v>11</v>
      </c>
      <c r="D99" s="2898">
        <f t="shared" ref="D99:M99" si="31">$I$3</f>
        <v>11</v>
      </c>
      <c r="E99" s="2898">
        <f t="shared" si="31"/>
        <v>11</v>
      </c>
      <c r="F99" s="2898">
        <f t="shared" si="31"/>
        <v>11</v>
      </c>
      <c r="G99" s="2898">
        <f t="shared" si="31"/>
        <v>11</v>
      </c>
      <c r="H99" s="2898">
        <f t="shared" si="31"/>
        <v>11</v>
      </c>
      <c r="I99" s="2898">
        <f t="shared" si="31"/>
        <v>11</v>
      </c>
      <c r="J99" s="2898">
        <f t="shared" si="31"/>
        <v>11</v>
      </c>
      <c r="K99" s="2898">
        <f t="shared" si="31"/>
        <v>11</v>
      </c>
      <c r="L99" s="2898">
        <f t="shared" si="31"/>
        <v>11</v>
      </c>
      <c r="M99" s="2898">
        <f t="shared" si="31"/>
        <v>11</v>
      </c>
      <c r="N99" s="2898">
        <f>$I$3</f>
        <v>11</v>
      </c>
    </row>
    <row r="100" spans="1:14">
      <c r="A100" s="3281"/>
      <c r="B100" s="2896">
        <v>7</v>
      </c>
      <c r="C100" s="2899">
        <f>(-0.163*(C99^2)-0.59*C99+7617)*(10^(-4))</f>
        <v>0.75907870000000011</v>
      </c>
      <c r="D100" s="2899">
        <f>(-0.163*(D99^2)-0.59*D99+7617)*(10^(-4))</f>
        <v>0.75907870000000011</v>
      </c>
      <c r="E100" s="2899">
        <f>(-0.161*(E99^2)-7.509*E99+6533)*(10^(-4))</f>
        <v>0.643092</v>
      </c>
      <c r="F100" s="2899">
        <f>(-0.161*(F99^2)-7.509*F99+6533)*(10^(-4))</f>
        <v>0.643092</v>
      </c>
      <c r="G100" s="2899">
        <f>(-0.161*(G99^2)-7.509*G99+6533)*(10^(-4))</f>
        <v>0.643092</v>
      </c>
      <c r="H100" s="2899">
        <f>(-0.161*(H99^2)-7.509*H99+6533)*(10^(-4))</f>
        <v>0.643092</v>
      </c>
      <c r="I100" s="2899">
        <f>(-0.161*(I99^2)-7.509*I99+6533)*(10^(-4))</f>
        <v>0.643092</v>
      </c>
      <c r="J100" s="2899">
        <f>(-0.214*(J99^2)-21.991*J99+4665)*(10^(-4))</f>
        <v>0.43972050000000001</v>
      </c>
      <c r="K100" s="2899">
        <f>(-0.214*(K99^2)-21.991*K99+4665)*(10^(-4))</f>
        <v>0.43972050000000001</v>
      </c>
      <c r="L100" s="2899">
        <f>(-0.214*(L99^2)-21.991*L99+4665)*(10^(-4))</f>
        <v>0.43972050000000001</v>
      </c>
      <c r="M100" s="2899">
        <f>(-0.214*(M99^2)-21.991*M99+4665)*(10^(-4))</f>
        <v>0.43972050000000001</v>
      </c>
      <c r="N100" s="2899">
        <f>(-0.214*(N99^2)-21.991*N99+4665)*(10^(-4))</f>
        <v>0.43972050000000001</v>
      </c>
    </row>
    <row r="101" spans="1:14">
      <c r="A101" s="3279" t="s">
        <v>2978</v>
      </c>
      <c r="B101" s="2900" t="s">
        <v>2979</v>
      </c>
      <c r="C101" s="2901">
        <f>$G$3</f>
        <v>2.72</v>
      </c>
      <c r="D101" s="2901">
        <f t="shared" ref="D101:N101" si="32">$G$3</f>
        <v>2.72</v>
      </c>
      <c r="E101" s="2901">
        <f t="shared" si="32"/>
        <v>2.72</v>
      </c>
      <c r="F101" s="2901">
        <f t="shared" si="32"/>
        <v>2.72</v>
      </c>
      <c r="G101" s="2901">
        <f t="shared" si="32"/>
        <v>2.72</v>
      </c>
      <c r="H101" s="2901">
        <f t="shared" si="32"/>
        <v>2.72</v>
      </c>
      <c r="I101" s="2901">
        <f t="shared" si="32"/>
        <v>2.72</v>
      </c>
      <c r="J101" s="2901">
        <f t="shared" si="32"/>
        <v>2.72</v>
      </c>
      <c r="K101" s="2901">
        <f t="shared" si="32"/>
        <v>2.72</v>
      </c>
      <c r="L101" s="2901">
        <f t="shared" si="32"/>
        <v>2.72</v>
      </c>
      <c r="M101" s="2901">
        <f t="shared" si="32"/>
        <v>2.72</v>
      </c>
      <c r="N101" s="2901">
        <f t="shared" si="32"/>
        <v>2.72</v>
      </c>
    </row>
    <row r="102" spans="1:14">
      <c r="A102" s="3280"/>
      <c r="B102" s="2896">
        <v>1</v>
      </c>
      <c r="C102" s="2897">
        <f>1.9362/C101</f>
        <v>0.71183823529411761</v>
      </c>
      <c r="D102" s="2897">
        <f>1.9362/D101</f>
        <v>0.71183823529411761</v>
      </c>
      <c r="E102" s="2897">
        <f>1.8629/E101</f>
        <v>0.68488970588235287</v>
      </c>
      <c r="F102" s="2897">
        <f>1.8629/F101</f>
        <v>0.68488970588235287</v>
      </c>
      <c r="G102" s="2897">
        <f>1.8629/G101</f>
        <v>0.68488970588235287</v>
      </c>
      <c r="H102" s="2897">
        <f>1.8629/H101</f>
        <v>0.68488970588235287</v>
      </c>
      <c r="I102" s="2897">
        <f>1.8629/I101</f>
        <v>0.68488970588235287</v>
      </c>
      <c r="J102" s="2897">
        <f>1.942/J101</f>
        <v>0.71397058823529402</v>
      </c>
      <c r="K102" s="2897">
        <f>1.942/K101</f>
        <v>0.71397058823529402</v>
      </c>
      <c r="L102" s="2897">
        <f>1.942/L101</f>
        <v>0.71397058823529402</v>
      </c>
      <c r="M102" s="2897">
        <f>1.942/M101</f>
        <v>0.71397058823529402</v>
      </c>
      <c r="N102" s="2897">
        <f>1.942/N101</f>
        <v>0.71397058823529402</v>
      </c>
    </row>
    <row r="103" spans="1:14">
      <c r="A103" s="3280"/>
      <c r="B103" s="2896">
        <v>2</v>
      </c>
      <c r="C103" s="2897">
        <f>1.4198/C101</f>
        <v>0.52198529411764705</v>
      </c>
      <c r="D103" s="2897">
        <f>1.4198/D101</f>
        <v>0.52198529411764705</v>
      </c>
      <c r="E103" s="2897">
        <f>1.3372/E101</f>
        <v>0.49161764705882349</v>
      </c>
      <c r="F103" s="2897">
        <f>1.3372/F101</f>
        <v>0.49161764705882349</v>
      </c>
      <c r="G103" s="2897">
        <f>1.3372/G101</f>
        <v>0.49161764705882349</v>
      </c>
      <c r="H103" s="2897">
        <f>1.3372/H101</f>
        <v>0.49161764705882349</v>
      </c>
      <c r="I103" s="2897">
        <f>1.3372/I101</f>
        <v>0.49161764705882349</v>
      </c>
      <c r="J103" s="2897">
        <f>1.2799/J101</f>
        <v>0.47055147058823527</v>
      </c>
      <c r="K103" s="2897">
        <f>1.2799/K101</f>
        <v>0.47055147058823527</v>
      </c>
      <c r="L103" s="2897">
        <f>1.2799/L101</f>
        <v>0.47055147058823527</v>
      </c>
      <c r="M103" s="2897">
        <f>1.2799/M101</f>
        <v>0.47055147058823527</v>
      </c>
      <c r="N103" s="2897">
        <f>1.2799/N101</f>
        <v>0.47055147058823527</v>
      </c>
    </row>
    <row r="104" spans="1:14">
      <c r="A104" s="3280"/>
      <c r="B104" s="2896">
        <v>3</v>
      </c>
      <c r="C104" s="2897">
        <f>1.1594/C101</f>
        <v>0.42624999999999996</v>
      </c>
      <c r="D104" s="2897">
        <f>1.1594/D101</f>
        <v>0.42624999999999996</v>
      </c>
      <c r="E104" s="2897">
        <f>1.0788/E101</f>
        <v>0.39661764705882352</v>
      </c>
      <c r="F104" s="2897">
        <f>1.0788/F101</f>
        <v>0.39661764705882352</v>
      </c>
      <c r="G104" s="2897">
        <f>1.0788/G101</f>
        <v>0.39661764705882352</v>
      </c>
      <c r="H104" s="2897">
        <f>1.0788/H101</f>
        <v>0.39661764705882352</v>
      </c>
      <c r="I104" s="2897">
        <f>1.0788/I101</f>
        <v>0.39661764705882352</v>
      </c>
      <c r="J104" s="2897">
        <f>1.0072/J101</f>
        <v>0.37029411764705883</v>
      </c>
      <c r="K104" s="2897">
        <f>1.0072/K101</f>
        <v>0.37029411764705883</v>
      </c>
      <c r="L104" s="2897">
        <f>1.0072/L101</f>
        <v>0.37029411764705883</v>
      </c>
      <c r="M104" s="2897">
        <f>1.0072/M101</f>
        <v>0.37029411764705883</v>
      </c>
      <c r="N104" s="2897">
        <f>1.0072/N101</f>
        <v>0.37029411764705883</v>
      </c>
    </row>
    <row r="105" spans="1:14">
      <c r="A105" s="3280"/>
      <c r="B105" s="2896">
        <v>4</v>
      </c>
      <c r="C105" s="2897">
        <f>0.9622/C101</f>
        <v>0.35375000000000001</v>
      </c>
      <c r="D105" s="2897">
        <f>0.9622/D101</f>
        <v>0.35375000000000001</v>
      </c>
      <c r="E105" s="2897">
        <f>0.8656/E101</f>
        <v>0.31823529411764706</v>
      </c>
      <c r="F105" s="2897">
        <f>0.8656/F101</f>
        <v>0.31823529411764706</v>
      </c>
      <c r="G105" s="2897">
        <f>0.8656/G101</f>
        <v>0.31823529411764706</v>
      </c>
      <c r="H105" s="2897">
        <f>0.8656/H101</f>
        <v>0.31823529411764706</v>
      </c>
      <c r="I105" s="2897">
        <f>0.8656/I101</f>
        <v>0.31823529411764706</v>
      </c>
      <c r="J105" s="2897">
        <f>0.7525/J101</f>
        <v>0.27665441176470584</v>
      </c>
      <c r="K105" s="2897">
        <f>0.7525/K101</f>
        <v>0.27665441176470584</v>
      </c>
      <c r="L105" s="2897">
        <f>0.7525/L101</f>
        <v>0.27665441176470584</v>
      </c>
      <c r="M105" s="2897">
        <f>0.7525/M101</f>
        <v>0.27665441176470584</v>
      </c>
      <c r="N105" s="2897">
        <f>0.7525/N101</f>
        <v>0.27665441176470584</v>
      </c>
    </row>
    <row r="106" spans="1:14">
      <c r="A106" s="3280"/>
      <c r="B106" s="2896">
        <v>5</v>
      </c>
      <c r="C106" s="2897">
        <f>0.8417/C101</f>
        <v>0.30944852941176471</v>
      </c>
      <c r="D106" s="2897">
        <f>0.8417/D101</f>
        <v>0.30944852941176471</v>
      </c>
      <c r="E106" s="2897">
        <f>0.7371/E101</f>
        <v>0.27099264705882348</v>
      </c>
      <c r="F106" s="2897">
        <f>0.7371/F101</f>
        <v>0.27099264705882348</v>
      </c>
      <c r="G106" s="2897">
        <f>0.7371/G101</f>
        <v>0.27099264705882348</v>
      </c>
      <c r="H106" s="2897">
        <f>0.7371/H101</f>
        <v>0.27099264705882348</v>
      </c>
      <c r="I106" s="2897">
        <f>0.7371/I101</f>
        <v>0.27099264705882348</v>
      </c>
      <c r="J106" s="2897">
        <f>0.5659/J101</f>
        <v>0.20805147058823525</v>
      </c>
      <c r="K106" s="2897">
        <f>0.5659/K101</f>
        <v>0.20805147058823525</v>
      </c>
      <c r="L106" s="2897">
        <f>0.5659/L101</f>
        <v>0.20805147058823525</v>
      </c>
      <c r="M106" s="2897">
        <f>0.5659/M101</f>
        <v>0.20805147058823525</v>
      </c>
      <c r="N106" s="2897">
        <f>0.5659/N101</f>
        <v>0.20805147058823525</v>
      </c>
    </row>
    <row r="107" spans="1:14">
      <c r="A107" s="3280"/>
      <c r="B107" s="2896">
        <v>6</v>
      </c>
      <c r="C107" s="2897">
        <f>0.7608/C101</f>
        <v>0.27970588235294119</v>
      </c>
      <c r="D107" s="2897">
        <f>0.7608/D101</f>
        <v>0.27970588235294119</v>
      </c>
      <c r="E107" s="2897">
        <f>0.6482/E101</f>
        <v>0.23830882352941174</v>
      </c>
      <c r="F107" s="2897">
        <f>0.6482/F101</f>
        <v>0.23830882352941174</v>
      </c>
      <c r="G107" s="2897">
        <f>0.6482/G101</f>
        <v>0.23830882352941174</v>
      </c>
      <c r="H107" s="2897">
        <f>0.6482/H101</f>
        <v>0.23830882352941174</v>
      </c>
      <c r="I107" s="2897">
        <f>0.6482/I101</f>
        <v>0.23830882352941174</v>
      </c>
      <c r="J107" s="2897">
        <f>0.4525/J101</f>
        <v>0.16636029411764705</v>
      </c>
      <c r="K107" s="2897">
        <f>0.4525/K101</f>
        <v>0.16636029411764705</v>
      </c>
      <c r="L107" s="2897">
        <f>0.4525/L101</f>
        <v>0.16636029411764705</v>
      </c>
      <c r="M107" s="2897">
        <f>0.4525/M101</f>
        <v>0.16636029411764705</v>
      </c>
      <c r="N107" s="2897">
        <f>0.4525/N101</f>
        <v>0.16636029411764705</v>
      </c>
    </row>
    <row r="108" spans="1:14">
      <c r="A108" s="3280"/>
      <c r="B108" s="3129" t="s">
        <v>2980</v>
      </c>
      <c r="C108" s="2898">
        <f>C99</f>
        <v>11</v>
      </c>
      <c r="D108" s="2898">
        <f t="shared" ref="D108:N108" si="33">D99</f>
        <v>11</v>
      </c>
      <c r="E108" s="2898">
        <f t="shared" si="33"/>
        <v>11</v>
      </c>
      <c r="F108" s="2898">
        <f t="shared" si="33"/>
        <v>11</v>
      </c>
      <c r="G108" s="2898">
        <f t="shared" si="33"/>
        <v>11</v>
      </c>
      <c r="H108" s="2898">
        <f t="shared" si="33"/>
        <v>11</v>
      </c>
      <c r="I108" s="2898">
        <f t="shared" si="33"/>
        <v>11</v>
      </c>
      <c r="J108" s="2898">
        <f t="shared" si="33"/>
        <v>11</v>
      </c>
      <c r="K108" s="2898">
        <f t="shared" si="33"/>
        <v>11</v>
      </c>
      <c r="L108" s="2898">
        <f t="shared" si="33"/>
        <v>11</v>
      </c>
      <c r="M108" s="2898">
        <f t="shared" si="33"/>
        <v>11</v>
      </c>
      <c r="N108" s="2898">
        <f t="shared" si="33"/>
        <v>11</v>
      </c>
    </row>
    <row r="109" spans="1:14">
      <c r="A109" s="3281"/>
      <c r="B109" s="3130"/>
      <c r="C109" s="2899">
        <f>(-0.163*(C108^2)-0.59*C108+7617)*(10^(-4))/C101</f>
        <v>0.27907305147058825</v>
      </c>
      <c r="D109" s="2899">
        <f>(-0.163*(D108^2)-0.59*D108+7617)*(10^(-4))/D101</f>
        <v>0.27907305147058825</v>
      </c>
      <c r="E109" s="2899">
        <f>(-0.161*(E108^2)-7.509*E108+6533)*(10^(-4))/E101</f>
        <v>0.23643088235294116</v>
      </c>
      <c r="F109" s="2899">
        <f>(-0.161*(F108^2)-7.509*F108+6533)*(10^(-4))/F101</f>
        <v>0.23643088235294116</v>
      </c>
      <c r="G109" s="2899">
        <f>(-0.161*(G108^2)-7.509*G108+6533)*(10^(-4))/G101</f>
        <v>0.23643088235294116</v>
      </c>
      <c r="H109" s="2899">
        <f>(-0.161*(H108^2)-7.509*H108+6533)*(10^(-4))/H101</f>
        <v>0.23643088235294116</v>
      </c>
      <c r="I109" s="2899">
        <f>(-0.161*(I108^2)-7.509*I108+6533)*(10^(-4))/I101</f>
        <v>0.23643088235294116</v>
      </c>
      <c r="J109" s="2899">
        <f>(-0.214*(J108^2)-21.991*J108+4665)*(10^(-4))/J101</f>
        <v>0.16166194852941176</v>
      </c>
      <c r="K109" s="2899">
        <f>(-0.214*(K108^2)-21.991*K108+4665)*(10^(-4))/K101</f>
        <v>0.16166194852941176</v>
      </c>
      <c r="L109" s="2899">
        <f>(-0.214*(L108^2)-21.991*L108+4665)*(10^(-4))/L101</f>
        <v>0.16166194852941176</v>
      </c>
      <c r="M109" s="2899">
        <f>(-0.214*(M108^2)-21.991*M108+4665)*(10^(-4))/M101</f>
        <v>0.16166194852941176</v>
      </c>
      <c r="N109" s="2899">
        <f>(-0.214*(N108^2)-21.991*N108+4665)*(10^(-4))/N101</f>
        <v>0.16166194852941176</v>
      </c>
    </row>
    <row r="110" spans="1:14">
      <c r="A110" s="3277" t="s">
        <v>2981</v>
      </c>
      <c r="B110" s="3277"/>
      <c r="C110" s="3277"/>
      <c r="D110" s="3277"/>
      <c r="E110" s="3277"/>
      <c r="F110" s="3277"/>
      <c r="G110" s="3277"/>
      <c r="H110" s="3277"/>
      <c r="I110" s="3277"/>
      <c r="J110" s="3277"/>
      <c r="K110" s="2902"/>
      <c r="L110" s="2902"/>
      <c r="M110" s="2902"/>
      <c r="N110" s="2902"/>
    </row>
    <row r="112" spans="1:14" ht="13.5" thickBot="1"/>
    <row r="113" spans="1:13" ht="25.5" thickBot="1">
      <c r="A113" s="903" t="s">
        <v>2982</v>
      </c>
      <c r="B113" s="1290">
        <f>G3</f>
        <v>2.72</v>
      </c>
      <c r="C113" s="904" t="s">
        <v>2983</v>
      </c>
      <c r="D113" s="905">
        <f>SUMPRODUCT((A115:A118=F113)*(B114:M114=H113)*B115:M118)</f>
        <v>0.90790000000000004</v>
      </c>
      <c r="E113" s="2726" t="s">
        <v>2815</v>
      </c>
      <c r="F113" s="2904" t="str">
        <f>E2</f>
        <v>商业</v>
      </c>
      <c r="G113" s="2726" t="s">
        <v>2816</v>
      </c>
      <c r="H113" s="2904" t="str">
        <f>G2</f>
        <v>二级</v>
      </c>
      <c r="I113" s="2726"/>
      <c r="J113" s="2905"/>
      <c r="K113" s="2905"/>
      <c r="L113" s="2905"/>
      <c r="M113" s="2905"/>
    </row>
    <row r="114" spans="1:13">
      <c r="A114" s="908"/>
      <c r="B114" s="2906" t="s">
        <v>2984</v>
      </c>
      <c r="C114" s="2906" t="s">
        <v>2985</v>
      </c>
      <c r="D114" s="2906" t="s">
        <v>2986</v>
      </c>
      <c r="E114" s="2907" t="s">
        <v>2987</v>
      </c>
      <c r="F114" s="2907" t="s">
        <v>2988</v>
      </c>
      <c r="G114" s="2907" t="s">
        <v>2989</v>
      </c>
      <c r="H114" s="2908" t="s">
        <v>2990</v>
      </c>
      <c r="I114" s="2908" t="s">
        <v>2991</v>
      </c>
      <c r="J114" s="2909" t="s">
        <v>2992</v>
      </c>
      <c r="K114" s="2909" t="s">
        <v>2993</v>
      </c>
      <c r="L114" s="2909" t="s">
        <v>2994</v>
      </c>
      <c r="M114" s="2910" t="s">
        <v>2995</v>
      </c>
    </row>
    <row r="115" spans="1:13">
      <c r="A115" s="909" t="s">
        <v>2880</v>
      </c>
      <c r="B115" s="910">
        <f>ROUND(0.9335-0.0094*B113,4)</f>
        <v>0.90790000000000004</v>
      </c>
      <c r="C115" s="910">
        <f>B115</f>
        <v>0.90790000000000004</v>
      </c>
      <c r="D115" s="910">
        <f>ROUND(0.8331-0.0109*B113,4)</f>
        <v>0.80349999999999999</v>
      </c>
      <c r="E115" s="910">
        <f>D115</f>
        <v>0.80349999999999999</v>
      </c>
      <c r="F115" s="910">
        <f>E115</f>
        <v>0.80349999999999999</v>
      </c>
      <c r="G115" s="910">
        <f>F115</f>
        <v>0.80349999999999999</v>
      </c>
      <c r="H115" s="910">
        <f>G115</f>
        <v>0.80349999999999999</v>
      </c>
      <c r="I115" s="910">
        <f>ROUND(0.689-0.0155*B113,4)</f>
        <v>0.64680000000000004</v>
      </c>
      <c r="J115" s="910">
        <f t="shared" ref="J115:M118" si="34">I115</f>
        <v>0.64680000000000004</v>
      </c>
      <c r="K115" s="910">
        <f t="shared" si="34"/>
        <v>0.64680000000000004</v>
      </c>
      <c r="L115" s="910">
        <f t="shared" si="34"/>
        <v>0.64680000000000004</v>
      </c>
      <c r="M115" s="911">
        <f t="shared" si="34"/>
        <v>0.64680000000000004</v>
      </c>
    </row>
    <row r="116" spans="1:13">
      <c r="A116" s="909" t="s">
        <v>2881</v>
      </c>
      <c r="B116" s="910">
        <f>ROUND(0.949-0.012*B113,4)</f>
        <v>0.91639999999999999</v>
      </c>
      <c r="C116" s="910">
        <f>B116</f>
        <v>0.91639999999999999</v>
      </c>
      <c r="D116" s="910">
        <f>ROUND(0.8567-0.013*B113,4)</f>
        <v>0.82130000000000003</v>
      </c>
      <c r="E116" s="910">
        <f t="shared" ref="E116:H117" si="35">D116</f>
        <v>0.82130000000000003</v>
      </c>
      <c r="F116" s="910">
        <f t="shared" si="35"/>
        <v>0.82130000000000003</v>
      </c>
      <c r="G116" s="910">
        <f t="shared" si="35"/>
        <v>0.82130000000000003</v>
      </c>
      <c r="H116" s="910">
        <f t="shared" si="35"/>
        <v>0.82130000000000003</v>
      </c>
      <c r="I116" s="910">
        <f>ROUND(0.7694-0.014*B113,4)</f>
        <v>0.73129999999999995</v>
      </c>
      <c r="J116" s="910">
        <f t="shared" si="34"/>
        <v>0.73129999999999995</v>
      </c>
      <c r="K116" s="910">
        <f t="shared" si="34"/>
        <v>0.73129999999999995</v>
      </c>
      <c r="L116" s="910">
        <f t="shared" si="34"/>
        <v>0.73129999999999995</v>
      </c>
      <c r="M116" s="911">
        <f t="shared" si="34"/>
        <v>0.73129999999999995</v>
      </c>
    </row>
    <row r="117" spans="1:13">
      <c r="A117" s="909" t="s">
        <v>2882</v>
      </c>
      <c r="B117" s="910">
        <f>ROUND(0.8808-0.006*B113,4)</f>
        <v>0.86450000000000005</v>
      </c>
      <c r="C117" s="910">
        <f>B117</f>
        <v>0.86450000000000005</v>
      </c>
      <c r="D117" s="910">
        <f>ROUND(0.8748-0.008*B113,4)</f>
        <v>0.85299999999999998</v>
      </c>
      <c r="E117" s="910">
        <f t="shared" si="35"/>
        <v>0.85299999999999998</v>
      </c>
      <c r="F117" s="910">
        <f t="shared" si="35"/>
        <v>0.85299999999999998</v>
      </c>
      <c r="G117" s="910">
        <f t="shared" si="35"/>
        <v>0.85299999999999998</v>
      </c>
      <c r="H117" s="910">
        <f t="shared" si="35"/>
        <v>0.85299999999999998</v>
      </c>
      <c r="I117" s="910">
        <f>ROUND(0.7412-0.0095*B113,4)</f>
        <v>0.71540000000000004</v>
      </c>
      <c r="J117" s="910">
        <f t="shared" si="34"/>
        <v>0.71540000000000004</v>
      </c>
      <c r="K117" s="910">
        <f t="shared" si="34"/>
        <v>0.71540000000000004</v>
      </c>
      <c r="L117" s="910">
        <f t="shared" si="34"/>
        <v>0.71540000000000004</v>
      </c>
      <c r="M117" s="911">
        <f t="shared" si="34"/>
        <v>0.71540000000000004</v>
      </c>
    </row>
    <row r="118" spans="1:13" ht="13.5" thickBot="1">
      <c r="A118" s="714" t="s">
        <v>2883</v>
      </c>
      <c r="B118" s="912">
        <f>ROUND(0.7275-0.01*B113,4)</f>
        <v>0.70030000000000003</v>
      </c>
      <c r="C118" s="912">
        <f>B118</f>
        <v>0.70030000000000003</v>
      </c>
      <c r="D118" s="912">
        <f>ROUND(0.7043-0.012*B113,4)</f>
        <v>0.67169999999999996</v>
      </c>
      <c r="E118" s="912">
        <f>D118</f>
        <v>0.67169999999999996</v>
      </c>
      <c r="F118" s="912">
        <f>E118</f>
        <v>0.67169999999999996</v>
      </c>
      <c r="G118" s="912">
        <f>ROUND(0.6299-0.0122*B113,4)</f>
        <v>0.59670000000000001</v>
      </c>
      <c r="H118" s="912">
        <f>G118</f>
        <v>0.59670000000000001</v>
      </c>
      <c r="I118" s="912">
        <f>ROUND(0.5667-0.0136*B113,4)</f>
        <v>0.52969999999999995</v>
      </c>
      <c r="J118" s="912">
        <f t="shared" si="34"/>
        <v>0.52969999999999995</v>
      </c>
      <c r="K118" s="912">
        <f t="shared" si="34"/>
        <v>0.52969999999999995</v>
      </c>
      <c r="L118" s="912">
        <f t="shared" si="34"/>
        <v>0.52969999999999995</v>
      </c>
      <c r="M118" s="913">
        <f t="shared" si="34"/>
        <v>0.52969999999999995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1.0778000000000001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3004</v>
      </c>
    </row>
    <row r="2" spans="1:5" ht="15.75">
      <c r="A2" s="2911" t="s">
        <v>2996</v>
      </c>
      <c r="B2" s="2912">
        <f ca="1">SUMIF(B6:B13,"&lt;&gt;#ref!",B6:B13)</f>
        <v>26631</v>
      </c>
      <c r="C2" s="2911" t="s">
        <v>2997</v>
      </c>
      <c r="D2" s="2911" t="s">
        <v>2998</v>
      </c>
      <c r="E2" s="2912" t="e">
        <f ca="1">SUM(E6:E13)</f>
        <v>#REF!</v>
      </c>
    </row>
    <row r="3" spans="1:5" ht="15.75">
      <c r="A3" s="2911" t="s">
        <v>2999</v>
      </c>
      <c r="B3" s="2912" t="e">
        <f ca="1">ROUND(B2*10000/E2,0)</f>
        <v>#REF!</v>
      </c>
      <c r="C3" s="2911" t="s">
        <v>3005</v>
      </c>
      <c r="D3" s="2913"/>
      <c r="E3" s="2913"/>
    </row>
    <row r="4" spans="1:5" ht="15.75">
      <c r="A4" s="2914"/>
      <c r="B4" s="2913"/>
      <c r="C4" s="2913"/>
      <c r="D4" s="2913"/>
      <c r="E4" s="2913"/>
    </row>
    <row r="5" spans="1:5" ht="28.5">
      <c r="A5" s="2915" t="s">
        <v>3000</v>
      </c>
      <c r="B5" s="2911" t="s">
        <v>3001</v>
      </c>
      <c r="C5" s="2912"/>
      <c r="D5" s="2913"/>
      <c r="E5" s="2911" t="s">
        <v>3002</v>
      </c>
    </row>
    <row r="6" spans="1:5" ht="15.75">
      <c r="A6" s="2916" t="s">
        <v>3003</v>
      </c>
      <c r="B6" s="2912">
        <f ca="1">SUMIF(INDIRECT("'"&amp;A6&amp;"'"&amp;"!A:A"),"总价",INDIRECT("'"&amp;A6&amp;"'"&amp;"!B:B"))</f>
        <v>26631</v>
      </c>
      <c r="C6" s="2911" t="s">
        <v>2997</v>
      </c>
      <c r="D6" s="2913"/>
      <c r="E6" s="2577">
        <f ca="1">SUMIF(INDIRECT("'"&amp;A6&amp;"'"&amp;"!C:C"),"建筑面积",INDIRECT("'"&amp;A6&amp;"'"&amp;"!D:D"))</f>
        <v>37570.25</v>
      </c>
    </row>
    <row r="7" spans="1:5" ht="15.75">
      <c r="A7" s="2916"/>
      <c r="B7" s="2912" t="e">
        <f ca="1">SUMIF(INDIRECT("'"&amp;A7&amp;"'"&amp;"!A:A"),"总价",INDIRECT("'"&amp;A7&amp;"'"&amp;"!B:B"))</f>
        <v>#REF!</v>
      </c>
      <c r="C7" s="2911" t="s">
        <v>2997</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2997</v>
      </c>
      <c r="D8" s="2913"/>
      <c r="E8" s="2577" t="e">
        <f t="shared" ca="1" si="0"/>
        <v>#REF!</v>
      </c>
    </row>
    <row r="9" spans="1:5" ht="15.75">
      <c r="A9" s="2916"/>
      <c r="B9" s="2912" t="e">
        <f t="shared" ca="1" si="1"/>
        <v>#REF!</v>
      </c>
      <c r="C9" s="2911" t="s">
        <v>2997</v>
      </c>
      <c r="D9" s="2913"/>
      <c r="E9" s="2577" t="e">
        <f t="shared" ca="1" si="0"/>
        <v>#REF!</v>
      </c>
    </row>
    <row r="10" spans="1:5" ht="15.75">
      <c r="A10" s="2916"/>
      <c r="B10" s="2912" t="e">
        <f t="shared" ca="1" si="1"/>
        <v>#REF!</v>
      </c>
      <c r="C10" s="2911" t="s">
        <v>2997</v>
      </c>
      <c r="D10" s="2913"/>
      <c r="E10" s="2577" t="e">
        <f t="shared" ca="1" si="0"/>
        <v>#REF!</v>
      </c>
    </row>
    <row r="11" spans="1:5" ht="15.75">
      <c r="A11" s="2916"/>
      <c r="B11" s="2912" t="e">
        <f t="shared" ca="1" si="1"/>
        <v>#REF!</v>
      </c>
      <c r="C11" s="2911" t="s">
        <v>2997</v>
      </c>
      <c r="D11" s="2913"/>
      <c r="E11" s="2577" t="e">
        <f t="shared" ca="1" si="0"/>
        <v>#REF!</v>
      </c>
    </row>
    <row r="12" spans="1:5" ht="15.75">
      <c r="A12" s="2916"/>
      <c r="B12" s="2912" t="e">
        <f t="shared" ca="1" si="1"/>
        <v>#REF!</v>
      </c>
      <c r="C12" s="2911" t="s">
        <v>2997</v>
      </c>
      <c r="D12" s="2913"/>
      <c r="E12" s="2577" t="e">
        <f t="shared" ca="1" si="0"/>
        <v>#REF!</v>
      </c>
    </row>
    <row r="13" spans="1:5" ht="15.75">
      <c r="A13" s="2916"/>
      <c r="B13" s="2912" t="e">
        <f t="shared" ca="1" si="1"/>
        <v>#REF!</v>
      </c>
      <c r="C13" s="2911" t="s">
        <v>2997</v>
      </c>
      <c r="D13" s="2913"/>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1631</v>
      </c>
      <c r="C4" s="2974"/>
      <c r="D4" s="2974"/>
      <c r="E4" s="1964"/>
    </row>
    <row r="5" spans="1:5" ht="16.5" thickTop="1">
      <c r="A5" s="1962"/>
      <c r="B5" s="2972" t="s">
        <v>1623</v>
      </c>
      <c r="C5" s="1965" t="s">
        <v>1624</v>
      </c>
      <c r="D5" s="1043">
        <f ca="1">结果表!H101</f>
        <v>411684</v>
      </c>
      <c r="E5" s="1962"/>
    </row>
    <row r="6" spans="1:5" ht="15.75">
      <c r="A6" s="1962"/>
      <c r="B6" s="2972"/>
      <c r="C6" s="1965" t="s">
        <v>1625</v>
      </c>
      <c r="D6" s="1043" t="str">
        <f ca="1">NUMBERSTRING(INT(D5*10000),2)&amp;"元整"</f>
        <v>肆拾壹亿壹仟陆佰捌拾肆万元整</v>
      </c>
      <c r="E6" s="1962"/>
    </row>
    <row r="7" spans="1:5" ht="15.75">
      <c r="A7" s="1962"/>
      <c r="B7" s="2977"/>
      <c r="C7" s="1966" t="s">
        <v>1626</v>
      </c>
      <c r="D7" s="1044">
        <f ca="1">结果表!H102</f>
        <v>68623</v>
      </c>
      <c r="E7" s="1962"/>
    </row>
    <row r="8" spans="1:5" ht="15.75">
      <c r="A8" s="1962"/>
      <c r="B8" s="2978" t="str">
        <f>结果表!E103</f>
        <v>2.估价师知悉的法定优先受偿款</v>
      </c>
      <c r="C8" s="1967" t="s">
        <v>1627</v>
      </c>
      <c r="D8" s="1044">
        <f>结果表!H103</f>
        <v>140000</v>
      </c>
      <c r="E8" s="1962"/>
    </row>
    <row r="9" spans="1:5" ht="15.75">
      <c r="A9" s="1962"/>
      <c r="B9" s="2980"/>
      <c r="C9" s="1965" t="s">
        <v>1625</v>
      </c>
      <c r="D9" s="1043" t="str">
        <f>NUMBERSTRING(INT(D8*10000),2)&amp;"元整"</f>
        <v>壹拾肆亿元整</v>
      </c>
      <c r="E9" s="1962"/>
    </row>
    <row r="10" spans="1:5" ht="15">
      <c r="A10" s="1962"/>
      <c r="B10" s="1968" t="s">
        <v>1630</v>
      </c>
      <c r="C10" s="1969" t="s">
        <v>1628</v>
      </c>
      <c r="D10" s="1045">
        <f>结果表!H104</f>
        <v>140000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71" t="str">
        <f>结果表!E107</f>
        <v>3.房地产抵押价值</v>
      </c>
      <c r="C13" s="1970" t="s">
        <v>1624</v>
      </c>
      <c r="D13" s="1046">
        <f ca="1">结果表!H107</f>
        <v>271684</v>
      </c>
      <c r="E13" s="1962"/>
    </row>
    <row r="14" spans="1:5" ht="15.75">
      <c r="A14" s="1962"/>
      <c r="B14" s="2972"/>
      <c r="C14" s="1965" t="s">
        <v>1625</v>
      </c>
      <c r="D14" s="1043" t="str">
        <f ca="1">NUMBERSTRING(INT(D13*10000),2)&amp;"元整"</f>
        <v>贰拾柒亿壹仟陆佰捌拾肆万元整</v>
      </c>
      <c r="E14" s="1962"/>
    </row>
    <row r="15" spans="1:5" ht="15">
      <c r="A15" s="1962"/>
      <c r="B15" s="2977"/>
      <c r="C15" s="1966" t="s">
        <v>1635</v>
      </c>
      <c r="D15" s="1055">
        <f ca="1">结果表!H108</f>
        <v>27847</v>
      </c>
      <c r="E15" s="1962"/>
    </row>
    <row r="16" spans="1:5" ht="15">
      <c r="A16" s="1962"/>
      <c r="B16" s="2978" t="str">
        <f>结果表!E109</f>
        <v>——</v>
      </c>
      <c r="C16" s="1970" t="s">
        <v>1636</v>
      </c>
      <c r="D16" s="1971" t="str">
        <f>结果表!H109</f>
        <v>——</v>
      </c>
      <c r="E16" s="1962"/>
    </row>
    <row r="17" spans="1:5" ht="15.75">
      <c r="A17" s="1962"/>
      <c r="B17" s="2979"/>
      <c r="C17" s="1965" t="s">
        <v>1637</v>
      </c>
      <c r="D17" s="1043" t="e">
        <f>NUMBERSTRING(INT(D16*10000),2)&amp;"元整"</f>
        <v>#VALUE!</v>
      </c>
      <c r="E17" s="1962"/>
    </row>
    <row r="18" spans="1:5" ht="15">
      <c r="A18" s="1962"/>
      <c r="B18" s="2980"/>
      <c r="C18" s="1966" t="s">
        <v>1626</v>
      </c>
      <c r="D18" s="1055" t="str">
        <f>结果表!H110</f>
        <v>——</v>
      </c>
      <c r="E18" s="1962"/>
    </row>
    <row r="19" spans="1:5" ht="15.75">
      <c r="A19" s="1962"/>
      <c r="B19" s="2971" t="str">
        <f>结果表!E111</f>
        <v>——</v>
      </c>
      <c r="C19" s="1970" t="s">
        <v>1624</v>
      </c>
      <c r="D19" s="1044" t="str">
        <f>结果表!H111</f>
        <v>——</v>
      </c>
      <c r="E19" s="1962"/>
    </row>
    <row r="20" spans="1:5" ht="15.75">
      <c r="A20" s="1962"/>
      <c r="B20" s="2972"/>
      <c r="C20" s="1965" t="s">
        <v>1637</v>
      </c>
      <c r="D20" s="1043" t="e">
        <f>NUMBERSTRING(INT(D19*10000),2)&amp;"元整"</f>
        <v>#VALUE!</v>
      </c>
      <c r="E20" s="1962"/>
    </row>
    <row r="21" spans="1:5" ht="15.75" thickBot="1">
      <c r="A21" s="1962"/>
      <c r="B21" s="297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5" zoomScale="80" zoomScaleNormal="80" workbookViewId="0">
      <selection activeCell="E19" sqref="E1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90" t="s">
        <v>1151</v>
      </c>
      <c r="H1" s="3290"/>
      <c r="I1" s="3290"/>
      <c r="J1" s="3290"/>
      <c r="K1" s="3290"/>
      <c r="L1" s="3290"/>
      <c r="N1" s="3290" t="s">
        <v>1152</v>
      </c>
      <c r="O1" s="3290"/>
      <c r="P1" s="3290"/>
      <c r="Q1" s="3290"/>
      <c r="R1" s="1449"/>
      <c r="S1" s="3290" t="s">
        <v>1153</v>
      </c>
      <c r="T1" s="3290"/>
      <c r="U1" s="3290"/>
      <c r="V1" s="3290"/>
      <c r="X1" s="3289" t="s">
        <v>1154</v>
      </c>
      <c r="Y1" s="3290"/>
      <c r="Z1" s="3290"/>
      <c r="AA1" s="3290"/>
      <c r="AB1" s="3290"/>
      <c r="AD1" s="3289" t="s">
        <v>1155</v>
      </c>
      <c r="AE1" s="3290"/>
      <c r="AF1" s="3290"/>
      <c r="AG1" s="3290"/>
      <c r="AH1" s="329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9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7"/>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7"/>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8"/>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86">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7"/>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7"/>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8"/>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86">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7"/>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7"/>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8"/>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9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9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9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9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86">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87"/>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87"/>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88"/>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86">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7">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87">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88">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86">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7">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87">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88">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86">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7">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87">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88">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86">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7">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87">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88">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86">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7">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87">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88">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86">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7">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87">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88">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86">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7">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87">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88">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86">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7">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87">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88">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86">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87">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87">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88">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86">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87">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87">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88">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88361</v>
      </c>
      <c r="C2" s="2" t="s">
        <v>133</v>
      </c>
      <c r="D2" s="243"/>
      <c r="E2" s="243"/>
      <c r="F2" s="243"/>
      <c r="G2" s="243"/>
    </row>
    <row r="3" spans="1:7" s="244" customFormat="1" ht="18" customHeight="1" thickBot="1">
      <c r="A3" s="247" t="s">
        <v>85</v>
      </c>
      <c r="B3" s="248">
        <f ca="1">ROUND(B2*10000/'数据-汇总表'!E3,0)</f>
        <v>9057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1951</v>
      </c>
      <c r="D10" s="1035">
        <f>'数据-汇总表'!E6</f>
        <v>97562.77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1951</v>
      </c>
      <c r="D19" s="1039">
        <f>'数据-汇总表'!E3</f>
        <v>97562.77</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3403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291</v>
      </c>
      <c r="D24" s="282"/>
      <c r="E24" s="282"/>
      <c r="F24" s="283"/>
      <c r="G24" s="284" t="s">
        <v>109</v>
      </c>
    </row>
    <row r="25" spans="1:7" s="258" customFormat="1" ht="24">
      <c r="A25" s="954" t="s">
        <v>793</v>
      </c>
      <c r="B25" s="259" t="s">
        <v>1058</v>
      </c>
      <c r="C25" s="1358">
        <f ca="1">ROUND(IF('数据-取费表'!B22&lt;=1,C20*F22*'数据-取费表'!B23/2,C20*(POWER((1+F22),'数据-取费表'!B23/2)-1)),0)</f>
        <v>33</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5983</v>
      </c>
      <c r="D27" s="279">
        <f>C29</f>
        <v>5.1999999999999998E-3</v>
      </c>
      <c r="E27" s="280" t="s">
        <v>126</v>
      </c>
      <c r="F27" s="290">
        <f>'数据-取费表'!Q16</f>
        <v>0.26</v>
      </c>
      <c r="G27" s="291" t="s">
        <v>1069</v>
      </c>
    </row>
    <row r="28" spans="1:7" s="258" customFormat="1" ht="13.5" customHeight="1">
      <c r="A28" s="954" t="s">
        <v>794</v>
      </c>
      <c r="B28" s="292" t="s">
        <v>1062</v>
      </c>
      <c r="C28" s="293">
        <f>ROUND((C5+C19+C20)*F27*'数据-取费表'!B21/'数据-取费表'!B20,0)</f>
        <v>5983</v>
      </c>
      <c r="D28" s="279"/>
      <c r="E28" s="280"/>
      <c r="F28" s="290"/>
      <c r="G28" s="291"/>
    </row>
    <row r="29" spans="1:7" s="258" customFormat="1" ht="13.5" customHeight="1">
      <c r="A29" s="954" t="s">
        <v>792</v>
      </c>
      <c r="B29" s="292" t="s">
        <v>1063</v>
      </c>
      <c r="C29" s="282">
        <f>ROUND(C21*F27*'数据-取费表'!B21/'数据-取费表'!B20,4)</f>
        <v>5.1999999999999998E-3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35213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43361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38883</v>
      </c>
      <c r="D34" s="261"/>
      <c r="E34" s="264"/>
      <c r="F34" s="301">
        <f>IF('数据-取费表'!B24=0,1,'数据-取费表'!N16)</f>
        <v>1</v>
      </c>
      <c r="G34" s="263" t="s">
        <v>116</v>
      </c>
    </row>
    <row r="35" spans="1:7" ht="13.5" customHeight="1">
      <c r="A35" s="954" t="s">
        <v>796</v>
      </c>
      <c r="B35" s="259" t="s">
        <v>60</v>
      </c>
      <c r="C35" s="264">
        <f>ROUND(C34*F35,0)</f>
        <v>1944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1951</v>
      </c>
      <c r="D37" s="261">
        <f>'数据-汇总表'!E3</f>
        <v>97562.77</v>
      </c>
      <c r="E37" s="293">
        <f>'数据-取费表'!B35</f>
        <v>200</v>
      </c>
      <c r="F37" s="303"/>
      <c r="G37" s="305" t="s">
        <v>119</v>
      </c>
    </row>
    <row r="38" spans="1:7" ht="13.5" customHeight="1">
      <c r="A38" s="954" t="s">
        <v>799</v>
      </c>
      <c r="B38" s="259" t="s">
        <v>63</v>
      </c>
      <c r="C38" s="264">
        <f>ROUND(C34*F38,0)</f>
        <v>583</v>
      </c>
      <c r="D38" s="264"/>
      <c r="E38" s="264"/>
      <c r="F38" s="303">
        <f>'数据-取费表'!B36</f>
        <v>1.4999999999999999E-2</v>
      </c>
      <c r="G38" s="263" t="s">
        <v>117</v>
      </c>
    </row>
    <row r="39" spans="1:7" s="258" customFormat="1" ht="13.5" customHeight="1">
      <c r="A39" s="951" t="s">
        <v>783</v>
      </c>
      <c r="B39" s="254" t="s">
        <v>104</v>
      </c>
      <c r="C39" s="276">
        <f>ROUND(C33*F20,0)</f>
        <v>867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3189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3126</v>
      </c>
      <c r="D42" s="282"/>
      <c r="E42" s="282"/>
      <c r="F42" s="283"/>
      <c r="G42" s="3156" t="s">
        <v>121</v>
      </c>
    </row>
    <row r="43" spans="1:7" ht="13.5" customHeight="1">
      <c r="A43" s="954" t="s">
        <v>792</v>
      </c>
      <c r="B43" s="259" t="s">
        <v>1064</v>
      </c>
      <c r="C43" s="282">
        <f ca="1">ROUND(IF('数据-取费表'!B22&lt;=1,C39*F22*'数据-取费表'!B21/2,C39*(POWER((1+F22),'数据-取费表'!B21/2)-1)),0)</f>
        <v>63</v>
      </c>
      <c r="D43" s="282"/>
      <c r="E43" s="282"/>
      <c r="F43" s="283"/>
      <c r="G43" s="3157"/>
    </row>
    <row r="44" spans="1:7" ht="13.5" customHeight="1">
      <c r="A44" s="954" t="s">
        <v>793</v>
      </c>
      <c r="B44" s="259" t="s">
        <v>1066</v>
      </c>
      <c r="C44" s="282">
        <f ca="1">ROUND(IF('数据-取费表'!B22&lt;=1,C40*F22*'数据-取费表'!B21/2,C40*(POWER((1+F22),'数据-取费表'!B21/2)-1)),4)</f>
        <v>1.4E-3</v>
      </c>
      <c r="D44" s="282"/>
      <c r="E44" s="282"/>
      <c r="F44" s="283"/>
      <c r="G44" s="3158"/>
    </row>
    <row r="45" spans="1:7" s="258" customFormat="1" ht="13.5" customHeight="1">
      <c r="A45" s="951" t="s">
        <v>786</v>
      </c>
      <c r="B45" s="288" t="s">
        <v>112</v>
      </c>
      <c r="C45" s="289">
        <f>C46</f>
        <v>11499</v>
      </c>
      <c r="D45" s="279">
        <f>C47</f>
        <v>5.1999999999999998E-3</v>
      </c>
      <c r="E45" s="280" t="s">
        <v>129</v>
      </c>
      <c r="F45" s="290"/>
      <c r="G45" s="291" t="s">
        <v>1072</v>
      </c>
    </row>
    <row r="46" spans="1:7" s="258" customFormat="1" ht="13.5" customHeight="1">
      <c r="A46" s="954" t="s">
        <v>794</v>
      </c>
      <c r="B46" s="292" t="s">
        <v>1065</v>
      </c>
      <c r="C46" s="293">
        <f>ROUND((C33+C39)*F27,0)</f>
        <v>11499</v>
      </c>
      <c r="D46" s="307"/>
      <c r="E46" s="280"/>
      <c r="F46" s="290"/>
      <c r="G46" s="291"/>
    </row>
    <row r="47" spans="1:7" s="258" customFormat="1" ht="13.5" customHeight="1">
      <c r="A47" s="954" t="s">
        <v>792</v>
      </c>
      <c r="B47" s="292" t="s">
        <v>1067</v>
      </c>
      <c r="C47" s="282">
        <f>ROUND(C40*F27,4)</f>
        <v>5.1999999999999998E-3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64034</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53148</v>
      </c>
      <c r="D51" s="276"/>
      <c r="E51" s="276"/>
      <c r="F51" s="308"/>
      <c r="G51" s="278" t="s">
        <v>64</v>
      </c>
    </row>
    <row r="52" spans="1:7" s="252" customFormat="1" ht="16.5" thickBot="1">
      <c r="A52" s="309" t="s">
        <v>65</v>
      </c>
      <c r="B52" s="310"/>
      <c r="C52" s="311">
        <f ca="1">C31+C51</f>
        <v>88361</v>
      </c>
      <c r="D52" s="310"/>
      <c r="E52" s="310"/>
      <c r="F52" s="310"/>
      <c r="G52" s="312"/>
    </row>
    <row r="55" spans="1:7" ht="15">
      <c r="B55" s="314" t="s">
        <v>66</v>
      </c>
      <c r="C55" s="315"/>
    </row>
    <row r="56" spans="1:7">
      <c r="B56" s="317" t="s">
        <v>67</v>
      </c>
      <c r="C56" s="318">
        <f ca="1">ROUND(C51/C52,3)</f>
        <v>0.60099999999999998</v>
      </c>
    </row>
    <row r="57" spans="1:7">
      <c r="B57" s="317" t="s">
        <v>68</v>
      </c>
      <c r="C57" s="319">
        <f ca="1">1-C56</f>
        <v>0.39900000000000002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43119</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abSelected="1" topLeftCell="A13" workbookViewId="0">
      <selection activeCell="N26" sqref="N26"/>
    </sheetView>
  </sheetViews>
  <sheetFormatPr defaultRowHeight="13.5"/>
  <sheetData>
    <row r="1" spans="1:12">
      <c r="A1" s="2947" t="s">
        <v>3089</v>
      </c>
      <c r="B1" s="2947" t="s">
        <v>3090</v>
      </c>
      <c r="C1" s="2947" t="s">
        <v>3091</v>
      </c>
      <c r="D1" s="2947" t="s">
        <v>3092</v>
      </c>
      <c r="E1" s="2947" t="s">
        <v>3093</v>
      </c>
    </row>
    <row r="2" spans="1:12">
      <c r="A2" s="2948">
        <v>1</v>
      </c>
      <c r="B2" s="2949" t="s">
        <v>3094</v>
      </c>
      <c r="C2" s="2948">
        <v>18.329999999999998</v>
      </c>
      <c r="D2" s="3300" t="s">
        <v>3095</v>
      </c>
      <c r="E2" s="3301">
        <v>-3</v>
      </c>
    </row>
    <row r="3" spans="1:12">
      <c r="A3" s="2948">
        <v>2</v>
      </c>
      <c r="B3" s="2948">
        <v>-301</v>
      </c>
      <c r="C3" s="2948">
        <v>7660.9</v>
      </c>
      <c r="D3" s="3300"/>
      <c r="E3" s="3301"/>
    </row>
    <row r="4" spans="1:12">
      <c r="A4" s="2948">
        <v>3</v>
      </c>
      <c r="B4" s="2949" t="s">
        <v>3096</v>
      </c>
      <c r="C4" s="2948">
        <v>48.08</v>
      </c>
      <c r="D4" s="3300" t="s">
        <v>3095</v>
      </c>
      <c r="E4" s="3301">
        <v>-2</v>
      </c>
    </row>
    <row r="5" spans="1:12">
      <c r="A5" s="2948">
        <v>4</v>
      </c>
      <c r="B5" s="2948">
        <v>-201</v>
      </c>
      <c r="C5" s="2948">
        <v>8316.48</v>
      </c>
      <c r="D5" s="3300"/>
      <c r="E5" s="3301"/>
    </row>
    <row r="6" spans="1:12">
      <c r="A6" s="2948">
        <v>5</v>
      </c>
      <c r="B6" s="2948">
        <v>-202</v>
      </c>
      <c r="C6" s="2948">
        <v>7920.78</v>
      </c>
      <c r="D6" s="2948"/>
      <c r="E6" s="3301"/>
    </row>
    <row r="7" spans="1:12">
      <c r="A7" s="2948">
        <v>6</v>
      </c>
      <c r="B7" s="2949" t="s">
        <v>3097</v>
      </c>
      <c r="C7" s="2948">
        <v>1210.6300000000001</v>
      </c>
      <c r="D7" s="2948"/>
      <c r="E7" s="3301">
        <v>-1</v>
      </c>
    </row>
    <row r="8" spans="1:12">
      <c r="A8" s="2948">
        <v>7</v>
      </c>
      <c r="B8" s="2949">
        <v>-101</v>
      </c>
      <c r="C8" s="2948">
        <v>1263.2</v>
      </c>
      <c r="D8" s="2949" t="s">
        <v>3098</v>
      </c>
      <c r="E8" s="3301"/>
    </row>
    <row r="9" spans="1:12">
      <c r="A9" s="2948">
        <v>8</v>
      </c>
      <c r="B9" s="2949">
        <v>-102</v>
      </c>
      <c r="C9" s="2948">
        <v>4706.78</v>
      </c>
      <c r="D9" s="3300" t="s">
        <v>3099</v>
      </c>
      <c r="E9" s="3301"/>
    </row>
    <row r="10" spans="1:12" ht="14.25" thickBot="1">
      <c r="A10" s="2948">
        <v>9</v>
      </c>
      <c r="B10" s="2949">
        <v>-103</v>
      </c>
      <c r="C10" s="2948">
        <v>8965.31</v>
      </c>
      <c r="D10" s="3300"/>
      <c r="E10" s="3301"/>
    </row>
    <row r="11" spans="1:12" ht="14.25" thickBot="1">
      <c r="A11" s="2948">
        <v>10</v>
      </c>
      <c r="B11" s="2949" t="s">
        <v>3100</v>
      </c>
      <c r="C11" s="2948">
        <v>77.739999999999995</v>
      </c>
      <c r="D11" s="3300" t="s">
        <v>3101</v>
      </c>
      <c r="E11" s="3301">
        <v>1</v>
      </c>
      <c r="L11" s="2967"/>
    </row>
    <row r="12" spans="1:12" ht="14.25" thickBot="1">
      <c r="A12" s="2948">
        <v>11</v>
      </c>
      <c r="B12" s="2949">
        <v>101</v>
      </c>
      <c r="C12" s="2948">
        <v>2603.7600000000002</v>
      </c>
      <c r="D12" s="3300"/>
      <c r="E12" s="3301"/>
      <c r="L12" s="2968"/>
    </row>
    <row r="13" spans="1:12" ht="14.25" thickBot="1">
      <c r="A13" s="2948">
        <v>12</v>
      </c>
      <c r="B13" s="2949">
        <v>102</v>
      </c>
      <c r="C13" s="2948">
        <v>8182.27</v>
      </c>
      <c r="D13" s="3300"/>
      <c r="E13" s="3301"/>
      <c r="L13" s="2968"/>
    </row>
    <row r="14" spans="1:12" ht="14.25" thickBot="1">
      <c r="A14" s="2948">
        <v>13</v>
      </c>
      <c r="B14" s="2949">
        <v>103</v>
      </c>
      <c r="C14" s="2948">
        <v>83.01</v>
      </c>
      <c r="D14" s="3300"/>
      <c r="E14" s="3301"/>
      <c r="L14" s="2968"/>
    </row>
    <row r="15" spans="1:12" ht="14.25" thickBot="1">
      <c r="A15" s="2948">
        <v>14</v>
      </c>
      <c r="B15" s="2949">
        <v>104</v>
      </c>
      <c r="C15" s="2948">
        <v>74.56</v>
      </c>
      <c r="D15" s="3300"/>
      <c r="E15" s="3301"/>
      <c r="L15" s="2968"/>
    </row>
    <row r="16" spans="1:12" ht="14.25" thickBot="1">
      <c r="A16" s="2948">
        <v>15</v>
      </c>
      <c r="B16" s="2949" t="s">
        <v>3102</v>
      </c>
      <c r="C16" s="2948">
        <v>12.33</v>
      </c>
      <c r="D16" s="3300"/>
      <c r="E16" s="3301">
        <v>2</v>
      </c>
      <c r="L16" s="2968"/>
    </row>
    <row r="17" spans="1:12" ht="14.25" thickBot="1">
      <c r="A17" s="2948">
        <v>16</v>
      </c>
      <c r="B17" s="2949">
        <v>201</v>
      </c>
      <c r="C17" s="2948">
        <v>2949.96</v>
      </c>
      <c r="D17" s="3300"/>
      <c r="E17" s="3301"/>
      <c r="L17" s="2968"/>
    </row>
    <row r="18" spans="1:12" ht="14.25" thickBot="1">
      <c r="A18" s="2948">
        <v>17</v>
      </c>
      <c r="B18" s="2949">
        <v>202</v>
      </c>
      <c r="C18" s="2948">
        <v>7724.88</v>
      </c>
      <c r="D18" s="3300"/>
      <c r="E18" s="3301"/>
      <c r="L18" s="2968"/>
    </row>
    <row r="19" spans="1:12" ht="14.25" thickBot="1">
      <c r="A19" s="2948">
        <v>18</v>
      </c>
      <c r="B19" s="2949" t="s">
        <v>3103</v>
      </c>
      <c r="C19" s="2948">
        <v>7.48</v>
      </c>
      <c r="D19" s="3300"/>
      <c r="E19" s="3301">
        <v>3</v>
      </c>
      <c r="L19" s="2968"/>
    </row>
    <row r="20" spans="1:12" ht="14.25" thickBot="1">
      <c r="A20" s="2948">
        <v>19</v>
      </c>
      <c r="B20" s="2949">
        <v>301</v>
      </c>
      <c r="C20" s="2948">
        <v>2986.66</v>
      </c>
      <c r="D20" s="3300"/>
      <c r="E20" s="3301"/>
      <c r="L20" s="2968"/>
    </row>
    <row r="21" spans="1:12" ht="14.25" thickBot="1">
      <c r="A21" s="2948">
        <v>20</v>
      </c>
      <c r="B21" s="2949">
        <v>302</v>
      </c>
      <c r="C21" s="2948">
        <v>8072.55</v>
      </c>
      <c r="D21" s="3300"/>
      <c r="E21" s="3301"/>
      <c r="L21" s="2968"/>
    </row>
    <row r="22" spans="1:12" ht="14.25" thickBot="1">
      <c r="A22" s="2948">
        <v>21</v>
      </c>
      <c r="B22" s="2949">
        <v>501</v>
      </c>
      <c r="C22" s="2948">
        <v>2994.27</v>
      </c>
      <c r="D22" s="3300"/>
      <c r="E22" s="3301">
        <v>4</v>
      </c>
      <c r="L22" s="2968"/>
    </row>
    <row r="23" spans="1:12" ht="14.25" thickBot="1">
      <c r="A23" s="2948">
        <v>22</v>
      </c>
      <c r="B23" s="2949">
        <v>502</v>
      </c>
      <c r="C23" s="2948">
        <v>5052.3100000000004</v>
      </c>
      <c r="D23" s="3300"/>
      <c r="E23" s="3301"/>
      <c r="L23" s="2968"/>
    </row>
    <row r="24" spans="1:12" ht="14.25" thickBot="1">
      <c r="A24" s="2948">
        <v>23</v>
      </c>
      <c r="B24" s="2949">
        <v>601</v>
      </c>
      <c r="C24" s="2948">
        <v>2367.5700000000002</v>
      </c>
      <c r="D24" s="3300"/>
      <c r="E24" s="3301">
        <v>5</v>
      </c>
      <c r="L24" s="2968"/>
    </row>
    <row r="25" spans="1:12" ht="14.25" thickBot="1">
      <c r="A25" s="2948">
        <v>24</v>
      </c>
      <c r="B25" s="2949">
        <v>602</v>
      </c>
      <c r="C25" s="2948">
        <v>3706.94</v>
      </c>
      <c r="D25" s="3300"/>
      <c r="E25" s="3301"/>
      <c r="L25" s="2968"/>
    </row>
    <row r="26" spans="1:12" ht="14.25" thickBot="1">
      <c r="A26" s="2948">
        <v>25</v>
      </c>
      <c r="B26" s="2949" t="s">
        <v>3104</v>
      </c>
      <c r="C26" s="2948">
        <v>126.19</v>
      </c>
      <c r="D26" s="3300"/>
      <c r="E26" s="3301">
        <v>6</v>
      </c>
      <c r="H26">
        <f>'数据-汇总表'!E27/Sheet1!C34*'数据-基础表'!A3</f>
        <v>21495.60365990725</v>
      </c>
      <c r="J26">
        <f>59992.92/97562.77*12702.55</f>
        <v>7811.0027620781975</v>
      </c>
      <c r="L26" s="2968"/>
    </row>
    <row r="27" spans="1:12" ht="14.25" thickBot="1">
      <c r="A27" s="2948">
        <v>26</v>
      </c>
      <c r="B27" s="2949">
        <v>701</v>
      </c>
      <c r="C27" s="2948">
        <v>2263.92</v>
      </c>
      <c r="D27" s="3300"/>
      <c r="E27" s="3301"/>
      <c r="L27" s="2968"/>
    </row>
    <row r="28" spans="1:12" ht="14.25" thickBot="1">
      <c r="A28" s="2948">
        <v>27</v>
      </c>
      <c r="B28" s="2949">
        <v>702</v>
      </c>
      <c r="C28" s="2948">
        <v>2516.3200000000002</v>
      </c>
      <c r="D28" s="3300"/>
      <c r="E28" s="3301"/>
      <c r="L28" s="2968"/>
    </row>
    <row r="29" spans="1:12" ht="14.25" thickBot="1">
      <c r="A29" s="2948">
        <v>28</v>
      </c>
      <c r="B29" s="2949">
        <v>801</v>
      </c>
      <c r="C29" s="2948">
        <v>1694.06</v>
      </c>
      <c r="D29" s="3300" t="s">
        <v>3105</v>
      </c>
      <c r="E29" s="2950">
        <v>7</v>
      </c>
      <c r="L29" s="2968"/>
    </row>
    <row r="30" spans="1:12">
      <c r="A30" s="2948">
        <v>29</v>
      </c>
      <c r="B30" s="2949">
        <v>901</v>
      </c>
      <c r="C30" s="2948">
        <v>1694.06</v>
      </c>
      <c r="D30" s="3300"/>
      <c r="E30" s="2950">
        <v>8</v>
      </c>
    </row>
    <row r="31" spans="1:12">
      <c r="A31" s="2948">
        <v>30</v>
      </c>
      <c r="B31" s="2949">
        <v>1001</v>
      </c>
      <c r="C31" s="2948">
        <v>1675.14</v>
      </c>
      <c r="D31" s="3300"/>
      <c r="E31" s="2950">
        <v>9</v>
      </c>
      <c r="I31" s="2969">
        <f>J31*2</f>
        <v>3.2599999999999997E-2</v>
      </c>
      <c r="J31" s="2969">
        <v>1.6299999999999999E-2</v>
      </c>
      <c r="K31" s="2969">
        <f>J31*-2</f>
        <v>-3.2599999999999997E-2</v>
      </c>
    </row>
    <row r="32" spans="1:12">
      <c r="A32" s="2948">
        <v>31</v>
      </c>
      <c r="B32" s="2949">
        <v>1101</v>
      </c>
      <c r="C32" s="2948">
        <v>1675.14</v>
      </c>
      <c r="D32" s="3300"/>
      <c r="E32" s="2950">
        <v>10</v>
      </c>
      <c r="I32" s="2969">
        <f t="shared" ref="I32:I39" si="0">J32*2</f>
        <v>2.46E-2</v>
      </c>
      <c r="J32" s="2969">
        <v>1.23E-2</v>
      </c>
      <c r="K32" s="2969">
        <f t="shared" ref="K32:K39" si="1">J32*-2</f>
        <v>-2.46E-2</v>
      </c>
    </row>
    <row r="33" spans="1:11">
      <c r="A33" s="2948">
        <v>32</v>
      </c>
      <c r="B33" s="2949">
        <v>1201</v>
      </c>
      <c r="C33" s="2948">
        <v>1675.14</v>
      </c>
      <c r="D33" s="3300"/>
      <c r="E33" s="2950">
        <v>11</v>
      </c>
      <c r="I33" s="2969">
        <f t="shared" si="0"/>
        <v>4.7999999999999996E-3</v>
      </c>
      <c r="J33" s="2969">
        <v>2.3999999999999998E-3</v>
      </c>
      <c r="K33" s="2969">
        <f t="shared" si="1"/>
        <v>-4.7999999999999996E-3</v>
      </c>
    </row>
    <row r="34" spans="1:11">
      <c r="C34">
        <f>SUM(C2:C33)</f>
        <v>100326.75000000001</v>
      </c>
      <c r="I34" s="2969">
        <f t="shared" si="0"/>
        <v>4.7999999999999996E-3</v>
      </c>
      <c r="J34" s="2969">
        <v>2.3999999999999998E-3</v>
      </c>
      <c r="K34" s="2969">
        <f t="shared" si="1"/>
        <v>-4.7999999999999996E-3</v>
      </c>
    </row>
    <row r="35" spans="1:11">
      <c r="I35" s="2969">
        <f t="shared" si="0"/>
        <v>7.7999999999999996E-3</v>
      </c>
      <c r="J35" s="2969">
        <v>3.8999999999999998E-3</v>
      </c>
      <c r="K35" s="2969">
        <f t="shared" si="1"/>
        <v>-7.7999999999999996E-3</v>
      </c>
    </row>
    <row r="36" spans="1:11">
      <c r="I36" s="2969">
        <f t="shared" si="0"/>
        <v>2.8E-3</v>
      </c>
      <c r="J36" s="2969">
        <v>1.4E-3</v>
      </c>
      <c r="K36" s="2969">
        <f t="shared" si="1"/>
        <v>-2.8E-3</v>
      </c>
    </row>
    <row r="37" spans="1:11">
      <c r="I37" s="2969">
        <f t="shared" si="0"/>
        <v>4.7999999999999996E-3</v>
      </c>
      <c r="J37" s="2969">
        <v>2.3999999999999998E-3</v>
      </c>
      <c r="K37" s="2969">
        <f t="shared" si="1"/>
        <v>-4.7999999999999996E-3</v>
      </c>
    </row>
    <row r="38" spans="1:11">
      <c r="I38" s="2969">
        <f t="shared" si="0"/>
        <v>9.7999999999999997E-3</v>
      </c>
      <c r="J38" s="2969">
        <v>4.8999999999999998E-3</v>
      </c>
      <c r="K38" s="2969">
        <f t="shared" si="1"/>
        <v>-9.7999999999999997E-3</v>
      </c>
    </row>
    <row r="39" spans="1:11">
      <c r="I39" s="2969">
        <f t="shared" si="0"/>
        <v>5.7999999999999996E-3</v>
      </c>
      <c r="J39" s="2969">
        <v>2.8999999999999998E-3</v>
      </c>
      <c r="K39" s="2969">
        <f t="shared" si="1"/>
        <v>-5.7999999999999996E-3</v>
      </c>
    </row>
    <row r="40" spans="1:11">
      <c r="I40" s="2969"/>
    </row>
    <row r="41" spans="1:11">
      <c r="G41">
        <f>23430*1.2636*0.8211*1.0872*0.3</f>
        <v>7928.8217853324477</v>
      </c>
    </row>
    <row r="42" spans="1:11">
      <c r="H42">
        <f>7929*13672.09/10000</f>
        <v>10840.600161</v>
      </c>
    </row>
    <row r="43" spans="1:11">
      <c r="E43">
        <f>2796.02/852.51-1</f>
        <v>2.2797503841597164</v>
      </c>
    </row>
  </sheetData>
  <mergeCells count="14">
    <mergeCell ref="D29:D33"/>
    <mergeCell ref="D11:D28"/>
    <mergeCell ref="E11:E15"/>
    <mergeCell ref="E16:E18"/>
    <mergeCell ref="E19:E21"/>
    <mergeCell ref="E22:E23"/>
    <mergeCell ref="E24:E25"/>
    <mergeCell ref="E26:E28"/>
    <mergeCell ref="D2:D3"/>
    <mergeCell ref="E2:E3"/>
    <mergeCell ref="D4:D5"/>
    <mergeCell ref="E4:E6"/>
    <mergeCell ref="E7:E10"/>
    <mergeCell ref="D9:D10"/>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1642</v>
      </c>
      <c r="B2" s="2991" t="s">
        <v>1643</v>
      </c>
      <c r="C2" s="2991" t="s">
        <v>1644</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1639</v>
      </c>
      <c r="E3" s="1047" t="s">
        <v>1645</v>
      </c>
      <c r="F3" s="1047" t="s">
        <v>1639</v>
      </c>
      <c r="G3" s="1047" t="s">
        <v>1640</v>
      </c>
      <c r="H3" s="1047" t="s">
        <v>1639</v>
      </c>
      <c r="I3" s="1047" t="s">
        <v>1640</v>
      </c>
    </row>
    <row r="4" spans="1:9" ht="30">
      <c r="A4" s="1976" t="str">
        <f>项目基本情况!S2</f>
        <v>北京市朝阳区东三环中路65号楼房地产</v>
      </c>
      <c r="B4" s="1047">
        <f>项目基本情况!C17</f>
        <v>97562.77</v>
      </c>
      <c r="C4" s="1047">
        <f>项目基本情况!C18</f>
        <v>12702.55</v>
      </c>
      <c r="D4" s="1047" t="e">
        <f ca="1">结果表!D118</f>
        <v>#REF!</v>
      </c>
      <c r="E4" s="1047" t="e">
        <f ca="1">结果表!E118</f>
        <v>#REF!</v>
      </c>
      <c r="F4" s="1047" t="e">
        <f ca="1">结果表!F118</f>
        <v>#REF!</v>
      </c>
      <c r="G4" s="1047" t="e">
        <f ca="1">结果表!G118</f>
        <v>#REF!</v>
      </c>
      <c r="H4" s="1047">
        <f ca="1">结果表!H118</f>
        <v>411684</v>
      </c>
      <c r="I4" s="1047">
        <f ca="1">结果表!I118</f>
        <v>68623</v>
      </c>
    </row>
    <row r="5" spans="1:9" ht="30" customHeight="1">
      <c r="A5" s="2985" t="s">
        <v>1641</v>
      </c>
      <c r="B5" s="2985"/>
      <c r="C5" s="2985"/>
      <c r="D5" s="2986" t="e">
        <f ca="1">结果表!D119</f>
        <v>#REF!</v>
      </c>
      <c r="E5" s="2986"/>
      <c r="F5" s="2986" t="e">
        <f ca="1">结果表!F119</f>
        <v>#REF!</v>
      </c>
      <c r="G5" s="2986"/>
      <c r="H5" s="2986" t="str">
        <f ca="1">结果表!H119</f>
        <v>肆拾壹亿壹仟陆佰捌拾肆万元整</v>
      </c>
      <c r="I5" s="2986"/>
    </row>
    <row r="6" spans="1:9" ht="15.75">
      <c r="A6" s="2984" t="str">
        <f>结果表!A120</f>
        <v>估价师知悉的法定优先受偿款</v>
      </c>
      <c r="B6" s="2984"/>
      <c r="C6" s="2984"/>
      <c r="D6" s="2984">
        <f>结果表!D120</f>
        <v>140000</v>
      </c>
      <c r="E6" s="2984"/>
      <c r="F6" s="2984"/>
      <c r="G6" s="2984"/>
      <c r="H6" s="2984"/>
      <c r="I6" s="2984"/>
    </row>
    <row r="7" spans="1:9" ht="15">
      <c r="A7" s="2985" t="s">
        <v>1641</v>
      </c>
      <c r="B7" s="2985"/>
      <c r="C7" s="2985"/>
      <c r="D7" s="2987" t="str">
        <f>结果表!D121</f>
        <v>壹拾肆亿元整</v>
      </c>
      <c r="E7" s="2988"/>
      <c r="F7" s="2988"/>
      <c r="G7" s="2988"/>
      <c r="H7" s="2988"/>
      <c r="I7" s="2989"/>
    </row>
    <row r="8" spans="1:9" ht="15.75">
      <c r="A8" s="2984" t="str">
        <f>结果表!A122</f>
        <v>房地产抵押价值</v>
      </c>
      <c r="B8" s="2984"/>
      <c r="C8" s="2984"/>
      <c r="D8" s="2984">
        <f ca="1">结果表!D122</f>
        <v>271684</v>
      </c>
      <c r="E8" s="2984"/>
      <c r="F8" s="2984"/>
      <c r="G8" s="2984"/>
      <c r="H8" s="2984"/>
      <c r="I8" s="2984"/>
    </row>
    <row r="9" spans="1:9" ht="15">
      <c r="A9" s="2985" t="s">
        <v>1641</v>
      </c>
      <c r="B9" s="2985"/>
      <c r="C9" s="2985"/>
      <c r="D9" s="2986" t="str">
        <f ca="1">结果表!D123</f>
        <v>贰拾柒亿壹仟陆佰捌拾肆万元整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1641</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1641</v>
      </c>
      <c r="B13" s="2981"/>
      <c r="C13" s="2981"/>
      <c r="D13" s="2982" t="e">
        <f>结果表!D127</f>
        <v>#VALUE!</v>
      </c>
      <c r="E13" s="2982"/>
      <c r="F13" s="2982"/>
      <c r="G13" s="2982"/>
      <c r="H13" s="2982"/>
      <c r="I13" s="2982"/>
    </row>
    <row r="14" spans="1:9" ht="15" thickTop="1">
      <c r="A14" s="2983" t="s">
        <v>1646</v>
      </c>
      <c r="B14" s="2983"/>
      <c r="C14" s="2983"/>
      <c r="D14" s="2983"/>
      <c r="E14" s="2983"/>
      <c r="F14" s="2983"/>
      <c r="G14" s="2983"/>
      <c r="H14" s="2983"/>
      <c r="I14" s="2983"/>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1663</v>
      </c>
      <c r="B1" s="2998"/>
      <c r="C1" s="2998"/>
      <c r="D1" s="2998"/>
    </row>
    <row r="2" spans="1:4" ht="18">
      <c r="A2" s="2999" t="s">
        <v>1647</v>
      </c>
      <c r="B2" s="2999"/>
      <c r="C2" s="2999"/>
      <c r="D2" s="2999"/>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99" t="s">
        <v>1653</v>
      </c>
      <c r="B6" s="2999"/>
      <c r="C6" s="2999"/>
      <c r="D6" s="2999"/>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00" t="s">
        <v>1656</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1657</v>
      </c>
      <c r="B16" s="2994"/>
      <c r="C16" s="2994"/>
      <c r="D16" s="2994"/>
    </row>
    <row r="17" spans="1:4" ht="144" customHeight="1">
      <c r="A17" s="2994" t="s">
        <v>1658</v>
      </c>
      <c r="B17" s="2994"/>
      <c r="C17" s="2994"/>
      <c r="D17" s="2994"/>
    </row>
    <row r="18" spans="1:4" ht="15.75" customHeight="1">
      <c r="A18" s="2992" t="str">
        <f>IF(项目基本情况!B8="抵押",结果表!K120,"——")</f>
        <v>故，本次评估估价师知悉的法定优先受偿款为人民币140000万元整。</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1659</v>
      </c>
      <c r="B22" s="2996"/>
      <c r="C22" s="2996"/>
      <c r="D22" s="2996"/>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6" t="s">
        <v>1670</v>
      </c>
      <c r="B15" s="3001" t="s">
        <v>136</v>
      </c>
      <c r="C15" s="3002"/>
    </row>
    <row r="16" spans="1:7" ht="13.5">
      <c r="A16" s="3007"/>
      <c r="B16" s="3001" t="s">
        <v>69</v>
      </c>
      <c r="C16" s="3002"/>
    </row>
    <row r="17" spans="1:3" ht="13.5">
      <c r="A17" s="3007"/>
      <c r="B17" s="3004" t="s">
        <v>1671</v>
      </c>
      <c r="C17" s="2003" t="s">
        <v>1670</v>
      </c>
    </row>
    <row r="18" spans="1:3" ht="13.5">
      <c r="A18" s="3007"/>
      <c r="B18" s="3004"/>
      <c r="C18" s="2003" t="s">
        <v>1672</v>
      </c>
    </row>
    <row r="19" spans="1:3" ht="13.5">
      <c r="A19" s="3007"/>
      <c r="B19" s="3004"/>
      <c r="C19" s="2003" t="s">
        <v>1673</v>
      </c>
    </row>
    <row r="20" spans="1:3" ht="13.5">
      <c r="A20" s="3008"/>
      <c r="B20" s="3003" t="s">
        <v>1674</v>
      </c>
      <c r="C20" s="3002"/>
    </row>
    <row r="21" spans="1:3" ht="13.5">
      <c r="A21" s="2004" t="s">
        <v>1675</v>
      </c>
      <c r="B21" s="2005"/>
      <c r="C21" s="2006"/>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2003" t="s">
        <v>1681</v>
      </c>
    </row>
    <row r="26" spans="1:3" ht="13.5">
      <c r="A26" s="3005"/>
      <c r="B26" s="3004"/>
      <c r="C26" s="2003" t="s">
        <v>1682</v>
      </c>
    </row>
    <row r="27" spans="1:3" ht="13.5">
      <c r="A27" s="3005"/>
      <c r="B27" s="3004"/>
      <c r="C27" s="2003" t="s">
        <v>1683</v>
      </c>
    </row>
    <row r="28" spans="1:3" ht="13.5">
      <c r="A28" s="3005"/>
      <c r="B28" s="3004"/>
      <c r="C28" s="2003" t="s">
        <v>1684</v>
      </c>
    </row>
    <row r="29" spans="1:3" ht="13.5">
      <c r="A29" s="3005"/>
      <c r="B29" s="3004"/>
      <c r="C29" s="2003" t="s">
        <v>1685</v>
      </c>
    </row>
    <row r="30" spans="1:3" ht="13.5">
      <c r="A30" s="3005"/>
      <c r="B30" s="3004"/>
      <c r="C30" s="2003" t="s">
        <v>1686</v>
      </c>
    </row>
    <row r="31" spans="1:3" ht="13.5">
      <c r="A31" s="3005"/>
      <c r="B31" s="3004"/>
      <c r="C31" s="2003" t="s">
        <v>1687</v>
      </c>
    </row>
    <row r="32" spans="1:3" ht="13.5">
      <c r="A32" s="3005"/>
      <c r="B32" s="3004"/>
      <c r="C32" s="2003" t="s">
        <v>1688</v>
      </c>
    </row>
    <row r="33" spans="1:3" ht="13.5">
      <c r="A33" s="3005"/>
      <c r="B33" s="300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43165</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成本法-地下仓储</vt:lpstr>
      <vt:lpstr>成本法 (元)</vt:lpstr>
      <vt:lpstr>成本法-地下车库</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'比较法-商业'!Print_Area</vt:lpstr>
      <vt:lpstr>'成本法-地下仓储'!Print_Area</vt:lpstr>
      <vt:lpstr>'成本法-地下车库'!Print_Area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2018-02-28T02:23:33Z</cp:lastPrinted>
  <dcterms:created xsi:type="dcterms:W3CDTF">2015-07-13T07:17:23Z</dcterms:created>
  <dcterms:modified xsi:type="dcterms:W3CDTF">2018-03-06T07:47:18Z</dcterms:modified>
</cp:coreProperties>
</file>